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<sst xmlns="http://schemas.openxmlformats.org/spreadsheetml/2006/main" count="120" uniqueCount="107">
  <si>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The Estée Lauder Companies Inc. (EL)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</si>
  <si>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</si>
  <si>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</si>
  <si>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</si>
  <si>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</si>
  <si>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</si>
  <si>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</si>
  <si>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</si>
  <si>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</si>
  <si>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</si>
  <si>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</si>
  <si>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</si>
  <si>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</si>
  <si>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</si>
  <si>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</si>
  <si>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</si>
  <si>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</si>
  <si>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</si>
  <si>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</si>
  <si>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</si>
  <si>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</si>
  <si>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</si>
  <si>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</si>
  <si>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</si>
  <si>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5.0x interest cover. Book interest / average debt was lower, at 3.6%.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</si>
  <si>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</si>
  <si>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</si>
  <si>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</si>
  <si>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</si>
  <si>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</si>
  <si>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</si>
  <si>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</si>
  <si>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</si>
  <si>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</si>
  <si>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</si>
  <si>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</si>
  <si>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</si>
  <si>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</si>
  <si>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</si>
  <si>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</si>
  <si>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</si>
  <si>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</si>
  <si>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</si>
  <si>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</si>
  <si>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</si>
  <si>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</si>
  <si>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</si>
  <si>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</si>
  <si>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</si>
  <si>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</si>
  <si>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</si>
  <si>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</si>
  <si>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</si>
  <si>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</si>
  <si>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</si>
  <si>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</si>
  <si>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</si>
  <si>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</si>
  <si>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</si>
  <si>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</si>
  <si>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</si>
  <si>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</si>
  <si>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</si>
  <si>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</si>
  <si>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</si>
  <si>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</si>
  <si>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</si>
  <si>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</si>
  <si>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</si>
  <si>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</si>
  <si>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</si>
  <si>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</si>
  <si>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</si>
  <si>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</si>
  <si>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</si>
  <si>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</si>
  <si>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</si>
  <si>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</si>
  <si>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</si>
  <si>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</si>
  <si>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</si>
  <si>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</si>
  <si>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</si>
  <si>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</si>
  <si>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</si>
  <si>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</si>
  <si>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</si>
  <si>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</si>
  <si>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</si>
  <si>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</si>
  <si>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</si>
  <si>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</si>
  <si>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</si>
  <si>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</si>
  <si>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</si>
  <si>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</si>
  <si>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</si>
  <si>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</si>
  <si>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</si>
  <si>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</si>
  <si>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</si>
  <si>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</si>
  <si>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</si>
  <si>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</si>
  <si>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</si>
  <si>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8.4% of revenue against depreciation of 5.3%.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</si>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</sst>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0.045517608478968796</v>
      </c>
    </row>
    <row r="7" spans="1:2" x14ac:dyDescent="0.25">
      <c r="A7" t="s">
        <v>4</v>
      </c>
      <c r="B7" s="5">
        <v>0.10063399209057344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0.05259531166343217</v>
      </c>
    </row>
    <row r="10" spans="1:3" x14ac:dyDescent="0.25">
      <c r="A10" t="s">
        <v>7</v>
      </c>
      <c r="B10" s="5">
        <v>0.08449858928416602</v>
      </c>
      <c r="C10" s="6" t="s">
        <v>8</v>
      </c>
    </row>
    <row r="11" spans="1:2" x14ac:dyDescent="0.25">
      <c r="A11" t="s">
        <v>9</v>
      </c>
      <c r="B11" s="5">
        <v>0.15240743425426512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18.32774713141933</v>
      </c>
    </row>
    <row r="14" spans="1:3" x14ac:dyDescent="0.25">
      <c r="A14" t="s">
        <v>12</v>
      </c>
      <c r="B14" s="5">
        <v>0.09824805812551048</v>
      </c>
      <c r="C14" s="6" t="s">
        <v>13</v>
      </c>
    </row>
    <row r="15" spans="1:3" x14ac:dyDescent="0.25">
      <c r="A15" t="s">
        <v>14</v>
      </c>
      <c r="B15" s="5">
        <v>0.05259531166343217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1.17755</v>
      </c>
      <c r="C19" s="6" t="s">
        <v>21</v>
      </c>
    </row>
    <row r="20" spans="1:2" x14ac:dyDescent="0.25">
      <c r="A20" t="s">
        <v>22</v>
      </c>
      <c r="B20" s="9">
        <f>B17+B19*B18</f>
        <v>0.098750365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39576518656</v>
      </c>
    </row>
    <row r="23" spans="1:2" x14ac:dyDescent="0.25">
      <c r="A23" t="s">
        <v>26</v>
      </c>
      <c r="B23" s="10">
        <v>9246000000</v>
      </c>
    </row>
    <row r="24" spans="1:2" x14ac:dyDescent="0.25">
      <c r="A24" t="s">
        <v>27</v>
      </c>
      <c r="B24" s="9">
        <f>B22/(B22+B23)</f>
        <v>0.8106201758015259</v>
      </c>
    </row>
    <row r="25" spans="1:2" x14ac:dyDescent="0.25">
      <c r="A25" t="s">
        <v>28</v>
      </c>
      <c r="B25" s="9">
        <f>1-B24</f>
        <v>0.1893798241984741</v>
      </c>
    </row>
    <row r="26" spans="1:2" x14ac:dyDescent="0.25">
      <c r="A26" t="s">
        <v>29</v>
      </c>
      <c r="B26" s="11">
        <f>B24*B20+B25*B21*(1-B8)</f>
        <v>0.08853791310453178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15049000000</v>
      </c>
      <c r="C29" s="6" t="s">
        <v>32</v>
      </c>
    </row>
    <row r="30" spans="1:2" x14ac:dyDescent="0.25">
      <c r="A30" t="s">
        <v>33</v>
      </c>
      <c r="B30" s="10">
        <v>5748000000</v>
      </c>
    </row>
    <row r="31" spans="1:2" x14ac:dyDescent="0.25">
      <c r="A31" t="s">
        <v>34</v>
      </c>
      <c r="B31" s="12">
        <v>364800000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0.045517608478968796</v>
      </c>
      <c r="C5" s="5">
        <v>0.04279588507724208</v>
      </c>
      <c r="D5" s="5">
        <v>0.04057139944258682</v>
      </c>
      <c r="E5" s="5">
        <v>0.03834691380793156</v>
      </c>
      <c r="F5" s="5">
        <v>0.0361224281732763</v>
      </c>
      <c r="G5" s="5">
        <v>0.03389794253862104</v>
      </c>
      <c r="H5" s="5">
        <v>0.03167345690396578</v>
      </c>
      <c r="I5" s="5">
        <v>0.029448971269310523</v>
      </c>
      <c r="J5" s="5">
        <v>0.027224485634655262</v>
      </c>
      <c r="K5" s="5">
        <v>0.025</v>
      </c>
    </row>
    <row r="6" spans="1:11" x14ac:dyDescent="0.25">
      <c r="A6" t="s">
        <v>50</v>
      </c>
      <c r="B6" s="18">
        <f>Assumptions!B29*(1+B5)</f>
        <v>15733994490.000002</v>
      </c>
      <c r="C6" s="18">
        <f>B6*(1+C5)</f>
        <v>16407344710.000002</v>
      </c>
      <c r="D6" s="18">
        <f>C6*(1+D5)</f>
        <v>17073013646.021627</v>
      </c>
      <c r="E6" s="18">
        <f>D6*(1+E5)</f>
        <v>17727711028.747257</v>
      </c>
      <c r="F6" s="18">
        <f>E6*(1+F5)</f>
        <v>18368078997.05978</v>
      </c>
      <c r="G6" s="18">
        <f>F6*(1+G5)</f>
        <v>18990719083.446964</v>
      </c>
      <c r="H6" s="18">
        <f>G6*(1+H5)</f>
        <v>19592220805.911842</v>
      </c>
      <c r="I6" s="18">
        <f>H6*(1+I5)</f>
        <v>20169191553.527126</v>
      </c>
      <c r="J6" s="18">
        <f>I6*(1+J5)</f>
        <v>20718287419.238735</v>
      </c>
      <c r="K6" s="18">
        <f>J6*(1+K5)</f>
        <v>21236244604.7197</v>
      </c>
    </row>
    <row r="7" spans="1:11" x14ac:dyDescent="0.25">
      <c r="A7" t="s">
        <v>4</v>
      </c>
      <c r="B7" s="9">
        <f>Assumptions!B7</f>
        <v>0.10063399209057344</v>
      </c>
      <c r="C7" s="9">
        <f>Assumptions!B7</f>
        <v>0.10063399209057344</v>
      </c>
      <c r="D7" s="9">
        <f>Assumptions!B7</f>
        <v>0.10063399209057344</v>
      </c>
      <c r="E7" s="9">
        <f>Assumptions!B7</f>
        <v>0.10063399209057344</v>
      </c>
      <c r="F7" s="9">
        <f>Assumptions!B7</f>
        <v>0.10063399209057344</v>
      </c>
      <c r="G7" s="9">
        <f>Assumptions!B7</f>
        <v>0.10063399209057344</v>
      </c>
      <c r="H7" s="9">
        <f>Assumptions!B7</f>
        <v>0.10063399209057344</v>
      </c>
      <c r="I7" s="9">
        <f>Assumptions!B7</f>
        <v>0.10063399209057344</v>
      </c>
      <c r="J7" s="9">
        <f>Assumptions!B7</f>
        <v>0.10063399209057344</v>
      </c>
      <c r="K7" s="9">
        <f>Assumptions!B7</f>
        <v>0.10063399209057344</v>
      </c>
    </row>
    <row r="8" spans="1:11" x14ac:dyDescent="0.25">
      <c r="A8" t="s">
        <v>51</v>
      </c>
      <c r="B8" s="18">
        <f>B6*B7</f>
        <v>1583374677.0597863</v>
      </c>
      <c r="C8" s="18">
        <f>C6*C7</f>
        <v>1651136597.7734523</v>
      </c>
      <c r="D8" s="18">
        <f>D6*D7</f>
        <v>1718125520.215993</v>
      </c>
      <c r="E8" s="18">
        <f>E6*E7</f>
        <v>1784010331.450923</v>
      </c>
      <c r="F8" s="18">
        <f>F6*F7</f>
        <v>1848453116.5091422</v>
      </c>
      <c r="G8" s="18">
        <f>G6*G7</f>
        <v>1911111874.037904</v>
      </c>
      <c r="H8" s="18">
        <f>H6*H7</f>
        <v>1971643393.6189008</v>
      </c>
      <c r="I8" s="18">
        <f>I6*I7</f>
        <v>2029706263.2709095</v>
      </c>
      <c r="J8" s="18">
        <f>J6*J7</f>
        <v>2084963972.277898</v>
      </c>
      <c r="K8" s="18">
        <f>K6*K7</f>
        <v>2137088071.5848453</v>
      </c>
    </row>
    <row r="9" spans="1:11" x14ac:dyDescent="0.25">
      <c r="A9" t="s">
        <v>52</v>
      </c>
      <c r="B9" s="18">
        <f>B8*(1-Assumptions!B8)</f>
        <v>1250865994.8772314</v>
      </c>
      <c r="C9" s="18">
        <f>C8*(1-Assumptions!B8)</f>
        <v>1304397912.2410274</v>
      </c>
      <c r="D9" s="18">
        <f>D8*(1-Assumptions!B8)</f>
        <v>1357319160.9706345</v>
      </c>
      <c r="E9" s="18">
        <f>E8*(1-Assumptions!B8)</f>
        <v>1409368161.8462293</v>
      </c>
      <c r="F9" s="18">
        <f>F8*(1-Assumptions!B8)</f>
        <v>1460277962.0422223</v>
      </c>
      <c r="G9" s="18">
        <f>G8*(1-Assumptions!B8)</f>
        <v>1509778380.4899442</v>
      </c>
      <c r="H9" s="18">
        <f>H8*(1-Assumptions!B8)</f>
        <v>1557598280.9589317</v>
      </c>
      <c r="I9" s="18">
        <f>I8*(1-Assumptions!B8)</f>
        <v>1603467947.9840186</v>
      </c>
      <c r="J9" s="18">
        <f>J8*(1-Assumptions!B8)</f>
        <v>1647121538.0995395</v>
      </c>
      <c r="K9" s="18">
        <f>K8*(1-Assumptions!B8)</f>
        <v>1688299576.552028</v>
      </c>
    </row>
    <row r="10" spans="1:11" x14ac:dyDescent="0.25">
      <c r="A10" t="s">
        <v>53</v>
      </c>
      <c r="B10" s="18">
        <f>B6*Assumptions!B9</f>
        <v>827534343.9122746</v>
      </c>
      <c r="C10" s="18">
        <f>C6*Assumptions!B9</f>
        <v>862949408.5918152</v>
      </c>
      <c r="D10" s="18">
        <f>D6*Assumptions!B9</f>
        <v>897960473.7465379</v>
      </c>
      <c r="E10" s="18">
        <f>E6*Assumptions!B9</f>
        <v>932394486.6362257</v>
      </c>
      <c r="F10" s="18">
        <f>F6*Assumptions!B9</f>
        <v>966074839.5089017</v>
      </c>
      <c r="G10" s="18">
        <f>G6*Assumptions!B9</f>
        <v>998822788.906582</v>
      </c>
      <c r="H10" s="18">
        <f>H6*Assumptions!B9</f>
        <v>1030458959.4657135</v>
      </c>
      <c r="I10" s="18">
        <f>I6*Assumptions!B9</f>
        <v>1060804915.7572229</v>
      </c>
      <c r="J10" s="18">
        <f>J6*Assumptions!B9</f>
        <v>1089684783.947427</v>
      </c>
      <c r="K10" s="18">
        <f>K6*Assumptions!B9</f>
        <v>1116926903.5461125</v>
      </c>
    </row>
    <row r="11" spans="1:11" x14ac:dyDescent="0.25">
      <c r="A11" t="s">
        <v>54</v>
      </c>
      <c r="B11" s="18">
        <f>-B6*B19</f>
        <v>-1329500338.2098415</v>
      </c>
      <c r="C11" s="18">
        <f>-C6*C19</f>
        <v>-1365115965.5131817</v>
      </c>
      <c r="D11" s="18">
        <f>-D6*D19</f>
        <v>-1398355693.3527958</v>
      </c>
      <c r="E11" s="18">
        <f>-E6*E19</f>
        <v>-1428984191.3146915</v>
      </c>
      <c r="F11" s="18">
        <f>-F6*F19</f>
        <v>-1456777839.1310484</v>
      </c>
      <c r="G11" s="18">
        <f>-G6*G19</f>
        <v>-1481527270.256022</v>
      </c>
      <c r="H11" s="18">
        <f>-H6*H19</f>
        <v>-1503039828.6743438</v>
      </c>
      <c r="I11" s="18">
        <f>-I6*I19</f>
        <v>-1521141900.760678</v>
      </c>
      <c r="J11" s="18">
        <f>-J6*J19</f>
        <v>-1535681084.768588</v>
      </c>
      <c r="K11" s="18">
        <f>-K6*K19</f>
        <v>-1546528162.0247405</v>
      </c>
    </row>
    <row r="12" spans="1:11" x14ac:dyDescent="0.25">
      <c r="A12" t="s">
        <v>55</v>
      </c>
      <c r="B12" s="18">
        <f>-(B6-Assumptions!B29)*Assumptions!B11</f>
        <v>-104398252.69920915</v>
      </c>
      <c r="C12" s="18">
        <f>-(C6-B6)*Assumptions!B11</f>
        <v>-102623579.38474496</v>
      </c>
      <c r="D12" s="18">
        <f>-(D6-C6)*Assumptions!B11</f>
        <v>-101452894.60182251</v>
      </c>
      <c r="E12" s="18">
        <f>-(E6-D6)*Assumptions!B11</f>
        <v>-99780748.31419587</v>
      </c>
      <c r="F12" s="18">
        <f>-(F6-E6)*Assumptions!B11</f>
        <v>-97596839.02912816</v>
      </c>
      <c r="G12" s="18">
        <f>-(G6-F6)*Assumptions!B11</f>
        <v>-94894978.03012472</v>
      </c>
      <c r="H12" s="18">
        <f>-(H6-G6)*Assumptions!B11</f>
        <v>-91673334.22039314</v>
      </c>
      <c r="I12" s="18">
        <f>-(I6-H6)*Assumptions!B11</f>
        <v>-87934631.28381059</v>
      </c>
      <c r="J12" s="18">
        <f>-(J6-I6)*Assumptions!B11</f>
        <v>-83686292.05273081</v>
      </c>
      <c r="K12" s="18">
        <f>-(K6-J6)*Assumptions!B11</f>
        <v>-78940525.69271432</v>
      </c>
    </row>
    <row r="13" spans="1:11" x14ac:dyDescent="0.25">
      <c r="A13" s="19" t="s">
        <v>56</v>
      </c>
      <c r="B13" s="20">
        <f>B9+B10+B11+B12</f>
        <v>644501747.8804553</v>
      </c>
      <c r="C13" s="20">
        <f>C9+C10+C11+C12</f>
        <v>699607775.9349161</v>
      </c>
      <c r="D13" s="20">
        <f>D9+D10+D11+D12</f>
        <v>755471046.7625543</v>
      </c>
      <c r="E13" s="20">
        <f>E9+E10+E11+E12</f>
        <v>812997708.8535678</v>
      </c>
      <c r="F13" s="20">
        <f>F9+F10+F11+F12</f>
        <v>871978123.3909475</v>
      </c>
      <c r="G13" s="20">
        <f>G9+G10+G11+G12</f>
        <v>932178921.1103797</v>
      </c>
      <c r="H13" s="20">
        <f>H9+H10+H11+H12</f>
        <v>993344077.5299084</v>
      </c>
      <c r="I13" s="20">
        <f>I9+I10+I11+I12</f>
        <v>1055196331.6967528</v>
      </c>
      <c r="J13" s="20">
        <f>J9+J10+J11+J12</f>
        <v>1117438945.2256477</v>
      </c>
      <c r="K13" s="20">
        <f>K9+K10+K11+K12</f>
        <v>1179757792.380686</v>
      </c>
    </row>
    <row r="14" spans="1:11" x14ac:dyDescent="0.25">
      <c r="A14" t="s">
        <v>57</v>
      </c>
      <c r="B14" s="21">
        <f>1/(1+Assumptions!$B$26)^(1-0.5*Assumptions!$B$32)</f>
        <v>0.9584693291186687</v>
      </c>
      <c r="C14" s="21">
        <f>1/(1+Assumptions!$B$26)^(2-0.5*Assumptions!$B$32)</f>
        <v>0.880510745266644</v>
      </c>
      <c r="D14" s="21">
        <f>1/(1+Assumptions!$B$26)^(3-0.5*Assumptions!$B$32)</f>
        <v>0.8088930432890571</v>
      </c>
      <c r="E14" s="21">
        <f>1/(1+Assumptions!$B$26)^(4-0.5*Assumptions!$B$32)</f>
        <v>0.7431004777611081</v>
      </c>
      <c r="F14" s="21">
        <f>1/(1+Assumptions!$B$26)^(5-0.5*Assumptions!$B$32)</f>
        <v>0.682659252209021</v>
      </c>
      <c r="G14" s="21">
        <f>1/(1+Assumptions!$B$26)^(6-0.5*Assumptions!$B$32)</f>
        <v>0.6271341071272963</v>
      </c>
      <c r="H14" s="21">
        <f>1/(1+Assumptions!$B$26)^(7-0.5*Assumptions!$B$32)</f>
        <v>0.5761251855148501</v>
      </c>
      <c r="I14" s="21">
        <f>1/(1+Assumptions!$B$26)^(8-0.5*Assumptions!$B$32)</f>
        <v>0.5292651533576168</v>
      </c>
      <c r="J14" s="21">
        <f>1/(1+Assumptions!$B$26)^(9-0.5*Assumptions!$B$32)</f>
        <v>0.48621655432114624</v>
      </c>
      <c r="K14" s="21">
        <f>1/(1+Assumptions!$B$26)^(10-0.5*Assumptions!$B$32)</f>
        <v>0.4466693796033681</v>
      </c>
    </row>
    <row r="15" spans="1:11" x14ac:dyDescent="0.25">
      <c r="A15" s="19" t="s">
        <v>58</v>
      </c>
      <c r="B15" s="20">
        <f>B13*B14</f>
        <v>617735157.9067893</v>
      </c>
      <c r="C15" s="20">
        <f>C13*C14</f>
        <v>616012164.1827923</v>
      </c>
      <c r="D15" s="20">
        <f>D13*D14</f>
        <v>611095274.1325321</v>
      </c>
      <c r="E15" s="20">
        <f>E13*E14</f>
        <v>604138985.8677726</v>
      </c>
      <c r="F15" s="20">
        <f>F13*F14</f>
        <v>595263933.6566896</v>
      </c>
      <c r="G15" s="20">
        <f>G13*G14</f>
        <v>584601195.3734444</v>
      </c>
      <c r="H15" s="20">
        <f>H13*H14</f>
        <v>572290540.9469962</v>
      </c>
      <c r="I15" s="20">
        <f>I13*I14</f>
        <v>558478648.3178766</v>
      </c>
      <c r="J15" s="20">
        <f>J13*J14</f>
        <v>543317313.6118705</v>
      </c>
      <c r="K15" s="20">
        <f>K13*K14</f>
        <v>526961681.2049202</v>
      </c>
    </row>
    <row r="17" spans="1:2" x14ac:dyDescent="0.25">
      <c r="A17" s="22" t="s">
        <v>59</v>
      </c>
      <c r="B17" s="23">
        <f>SUM(B15:K15)</f>
        <v>5829894895.201684</v>
      </c>
    </row>
    <row r="19" spans="1:11" x14ac:dyDescent="0.25">
      <c r="A19" t="s">
        <v>7</v>
      </c>
      <c r="B19" s="9">
        <f>Assumptions!$B$10+($B$20-Assumptions!$B$10)*0/9</f>
        <v>0.08449858928416602</v>
      </c>
      <c r="C19" s="9">
        <f>Assumptions!$B$10+($B$20-Assumptions!$B$10)*1/9</f>
        <v>0.08320151673787693</v>
      </c>
      <c r="D19" s="9">
        <f>Assumptions!$B$10+($B$20-Assumptions!$B$10)*2/9</f>
        <v>0.08190444419158784</v>
      </c>
      <c r="E19" s="9">
        <f>Assumptions!$B$10+($B$20-Assumptions!$B$10)*3/9</f>
        <v>0.08060737164529874</v>
      </c>
      <c r="F19" s="9">
        <f>Assumptions!$B$10+($B$20-Assumptions!$B$10)*4/9</f>
        <v>0.07931029909900965</v>
      </c>
      <c r="G19" s="9">
        <f>Assumptions!$B$10+($B$20-Assumptions!$B$10)*5/9</f>
        <v>0.07801322655272057</v>
      </c>
      <c r="H19" s="9">
        <f>Assumptions!$B$10+($B$20-Assumptions!$B$10)*6/9</f>
        <v>0.07671615400643148</v>
      </c>
      <c r="I19" s="9">
        <f>Assumptions!$B$10+($B$20-Assumptions!$B$10)*7/9</f>
        <v>0.07541908146014238</v>
      </c>
      <c r="J19" s="9">
        <f>Assumptions!$B$10+($B$20-Assumptions!$B$10)*8/9</f>
        <v>0.07412200891385329</v>
      </c>
      <c r="K19" s="9">
        <f>Assumptions!$B$10+($B$20-Assumptions!$B$10)*9/9</f>
        <v>0.0728249363675642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0.0728249363675642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1179757792.380686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1688299576.552028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0.2544579554749353</v>
      </c>
    </row>
    <row r="7" spans="1:2" x14ac:dyDescent="0.25">
      <c r="A7" t="s">
        <v>66</v>
      </c>
      <c r="B7" s="18">
        <f>-MAX(B5,0)*B6</f>
        <v>-429601258.4786281</v>
      </c>
    </row>
    <row r="8" spans="1:2" x14ac:dyDescent="0.25">
      <c r="A8" t="s">
        <v>67</v>
      </c>
      <c r="B8" s="18">
        <f>IF(OR(Assumptions!$B$33=0,Assumptions!B12&lt;=0),B5,MAX(B5+B7,0))</f>
        <v>1258698318.0733998</v>
      </c>
    </row>
    <row r="9" spans="1:2" x14ac:dyDescent="0.25">
      <c r="A9" t="s">
        <v>68</v>
      </c>
      <c r="B9" s="18">
        <f>B8*(1+Assumptions!B12)/(Assumptions!B26-Assumptions!B12)</f>
        <v>20305447771.044514</v>
      </c>
    </row>
    <row r="10" spans="1:2" x14ac:dyDescent="0.25">
      <c r="A10" t="s">
        <v>69</v>
      </c>
      <c r="B10" s="18">
        <f>B9/(1+Assumptions!B26)^(10-0.5*Assumptions!B32)</f>
        <v>9069821758.461046</v>
      </c>
    </row>
    <row r="11" spans="1:2" x14ac:dyDescent="0.25">
      <c r="A11" t="s">
        <v>70</v>
      </c>
      <c r="B11" s="18">
        <f>Forecast!B17+B10</f>
        <v>14899716653.662731</v>
      </c>
    </row>
    <row r="12" spans="1:2" x14ac:dyDescent="0.25">
      <c r="A12" t="s">
        <v>71</v>
      </c>
      <c r="B12" s="18">
        <f>-Assumptions!B30</f>
        <v>-5748000000</v>
      </c>
    </row>
    <row r="13" spans="1:2" x14ac:dyDescent="0.25">
      <c r="A13" t="s">
        <v>72</v>
      </c>
      <c r="B13" s="18">
        <f>B11+B12</f>
        <v>9151716653.662731</v>
      </c>
    </row>
    <row r="14" spans="1:2" x14ac:dyDescent="0.25">
      <c r="A14" s="19" t="s">
        <v>73</v>
      </c>
      <c r="B14" s="24">
        <f>B13/Assumptions!B31</f>
        <v>25.08694258131231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3254014975.1309576</v>
      </c>
    </row>
    <row r="18" spans="1:2" x14ac:dyDescent="0.25">
      <c r="A18" t="s">
        <v>68</v>
      </c>
      <c r="B18" s="18">
        <f>B17*Assumptions!B13</f>
        <v>59638763626.05195</v>
      </c>
    </row>
    <row r="19" spans="1:2" x14ac:dyDescent="0.25">
      <c r="A19" t="s">
        <v>69</v>
      </c>
      <c r="B19" s="18">
        <f>B18/(1+Assumptions!B26)^(10-0.5*Assumptions!B32)</f>
        <v>26638809549.16054</v>
      </c>
    </row>
    <row r="20" spans="1:2" x14ac:dyDescent="0.25">
      <c r="A20" t="s">
        <v>70</v>
      </c>
      <c r="B20" s="18">
        <f>Forecast!B17+B19</f>
        <v>32468704444.362225</v>
      </c>
    </row>
    <row r="21" spans="1:2" x14ac:dyDescent="0.25">
      <c r="A21" t="s">
        <v>71</v>
      </c>
      <c r="B21" s="18">
        <f>-Assumptions!B30</f>
        <v>-5748000000</v>
      </c>
    </row>
    <row r="22" spans="1:2" x14ac:dyDescent="0.25">
      <c r="A22" t="s">
        <v>72</v>
      </c>
      <c r="B22" s="18">
        <f>B20+B21</f>
        <v>26720704444.362225</v>
      </c>
    </row>
    <row r="23" spans="1:2" x14ac:dyDescent="0.25">
      <c r="A23" s="19" t="s">
        <v>73</v>
      </c>
      <c r="B23" s="25">
        <f>B22/Assumptions!B31</f>
        <v>73.24754507774733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109.23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25.08694258131231</v>
      </c>
    </row>
    <row r="29" spans="1:2" x14ac:dyDescent="0.25">
      <c r="A29" s="19" t="s">
        <v>81</v>
      </c>
      <c r="B29" s="11">
        <f>B28/B26-1</f>
        <v>-0.7703291899541124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0.068538</v>
      </c>
      <c r="B5" s="31">
        <v>42.75107850966142</v>
      </c>
      <c r="C5" s="31">
        <v>43.71326547937377</v>
      </c>
      <c r="D5" s="31">
        <v>45.027512671979245</v>
      </c>
      <c r="E5" s="31">
        <v>46.83085115664074</v>
      </c>
      <c r="F5" s="31">
        <v>49.34202890225438</v>
      </c>
    </row>
    <row r="6" spans="1:6" x14ac:dyDescent="0.25">
      <c r="A6" s="30">
        <v>0.078538</v>
      </c>
      <c r="B6" s="31">
        <v>32.81636183603954</v>
      </c>
      <c r="C6" s="31">
        <v>32.93321084844511</v>
      </c>
      <c r="D6" s="31">
        <v>33.17266077746184</v>
      </c>
      <c r="E6" s="31">
        <v>33.57259974681071</v>
      </c>
      <c r="F6" s="31">
        <v>34.18832050317236</v>
      </c>
    </row>
    <row r="7" spans="1:6" x14ac:dyDescent="0.25">
      <c r="A7" s="30">
        <v>0.088538</v>
      </c>
      <c r="B7" s="31">
        <v>25.632085729168953</v>
      </c>
      <c r="C7" s="31">
        <v>25.342123211509303</v>
      </c>
      <c r="D7" s="32">
        <v>25.086883531153024</v>
      </c>
      <c r="E7" s="31">
        <v>24.875264200135952</v>
      </c>
      <c r="F7" s="31">
        <v>24.719486542379144</v>
      </c>
    </row>
    <row r="8" spans="1:6" x14ac:dyDescent="0.25">
      <c r="A8" s="30">
        <v>0.098538</v>
      </c>
      <c r="B8" s="31">
        <v>20.222487825117792</v>
      </c>
      <c r="C8" s="31">
        <v>19.740310739978906</v>
      </c>
      <c r="D8" s="31">
        <v>19.258133654840012</v>
      </c>
      <c r="E8" s="31">
        <v>18.77595656970112</v>
      </c>
      <c r="F8" s="31">
        <v>18.293779484562226</v>
      </c>
    </row>
    <row r="9" spans="1:6" x14ac:dyDescent="0.25">
      <c r="A9" s="30">
        <v>0.108538</v>
      </c>
      <c r="B9" s="31">
        <v>16.40278293204083</v>
      </c>
      <c r="C9" s="31">
        <v>15.987820719023013</v>
      </c>
      <c r="D9" s="31">
        <v>15.572858506005186</v>
      </c>
      <c r="E9" s="31">
        <v>15.157896292987362</v>
      </c>
      <c r="F9" s="31">
        <v>14.742934079969535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15049000000</v>
      </c>
      <c r="C5" s="18">
        <v>14326000000</v>
      </c>
      <c r="D5" s="18">
        <v>15608000000</v>
      </c>
      <c r="E5" s="18">
        <v>15910000000</v>
      </c>
      <c r="F5" s="6" t="s">
        <v>91</v>
      </c>
    </row>
    <row r="6" spans="1:6" x14ac:dyDescent="0.25">
      <c r="A6" t="s">
        <v>51</v>
      </c>
      <c r="B6" s="18">
        <v>1677000000</v>
      </c>
      <c r="C6" s="18">
        <v>1141000000</v>
      </c>
      <c r="D6" s="18">
        <v>1563000000</v>
      </c>
      <c r="E6" s="18">
        <v>1771000000</v>
      </c>
      <c r="F6" s="6" t="s">
        <v>92</v>
      </c>
    </row>
    <row r="7" spans="1:6" x14ac:dyDescent="0.25">
      <c r="A7" t="s">
        <v>93</v>
      </c>
      <c r="B7" s="18">
        <v>796000000</v>
      </c>
      <c r="C7" s="18">
        <v>829000000</v>
      </c>
      <c r="D7" s="18">
        <v>825000000</v>
      </c>
      <c r="E7" s="18">
        <v>744000000</v>
      </c>
      <c r="F7" s="6" t="s">
        <v>94</v>
      </c>
    </row>
    <row r="8" spans="1:6" x14ac:dyDescent="0.25">
      <c r="A8" t="s">
        <v>95</v>
      </c>
      <c r="B8" s="18">
        <v>457000000</v>
      </c>
      <c r="C8" s="18">
        <v>602000000</v>
      </c>
      <c r="D8" s="18">
        <v>919000000</v>
      </c>
      <c r="E8" s="18">
        <v>3289000000</v>
      </c>
      <c r="F8" s="6" t="s">
        <v>96</v>
      </c>
    </row>
    <row r="9" spans="1:6" x14ac:dyDescent="0.25">
      <c r="A9" t="s">
        <v>97</v>
      </c>
      <c r="B9" s="18">
        <v>-590000000</v>
      </c>
      <c r="C9" s="18">
        <v>-349000000</v>
      </c>
      <c r="D9" s="18">
        <v>-631000000</v>
      </c>
      <c r="E9" s="18">
        <v>356000000</v>
      </c>
      <c r="F9" s="6" t="s">
        <v>98</v>
      </c>
    </row>
    <row r="10" spans="1:6" x14ac:dyDescent="0.25">
      <c r="A10" t="s">
        <v>99</v>
      </c>
      <c r="B10" s="18">
        <v>9246000000</v>
      </c>
      <c r="C10" s="18">
        <v>9467000000</v>
      </c>
      <c r="D10" s="18">
        <v>9826000000</v>
      </c>
      <c r="E10" s="18">
        <v>10169000000</v>
      </c>
      <c r="F10" s="6" t="s">
        <v>100</v>
      </c>
    </row>
    <row r="11" spans="1:6" x14ac:dyDescent="0.25">
      <c r="A11" t="s">
        <v>101</v>
      </c>
      <c r="B11" s="18">
        <v>3498000000</v>
      </c>
      <c r="C11" s="18">
        <v>2921000000</v>
      </c>
      <c r="D11" s="18">
        <v>3395000000</v>
      </c>
      <c r="E11" s="18">
        <v>4029000000</v>
      </c>
      <c r="F11" s="6" t="s">
        <v>102</v>
      </c>
    </row>
    <row r="12" spans="1:6" x14ac:dyDescent="0.25">
      <c r="A12" t="s">
        <v>34</v>
      </c>
      <c r="B12" s="34">
        <v>364800000</v>
      </c>
      <c r="C12" s="34">
        <v>360100000</v>
      </c>
      <c r="D12" s="34">
        <v>360800000</v>
      </c>
      <c r="E12" s="34">
        <v>360900000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