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<sst xmlns="http://schemas.openxmlformats.org/spreadsheetml/2006/main" count="112" uniqueCount="100">
  <si>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The Estée Lauder Companies Inc. (EL)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</si>
  <si>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</si>
  <si>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</si>
  <si>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</si>
  <si>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</si>
  <si>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</si>
  <si>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</si>
  <si>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</si>
  <si>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</si>
  <si>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</si>
  <si>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</si>
  <si>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</si>
  <si>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</si>
  <si>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</si>
  <si>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</si>
  <si>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</si>
  <si>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</si>
  <si>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</si>
  <si>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</si>
  <si>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</si>
  <si>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</si>
  <si>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</si>
  <si>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</si>
  <si>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</si>
  <si>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</si>
  <si>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</si>
  <si>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</si>
  <si>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</si>
  <si>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</si>
  <si>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</si>
  <si>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</si>
  <si>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</si>
  <si>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</si>
  <si>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</si>
  <si>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</si>
  <si>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</si>
  <si>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</si>
  <si>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</si>
  <si>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</si>
  <si>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</si>
  <si>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</si>
  <si>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</si>
  <si>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</si>
  <si>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</si>
  <si>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</si>
  <si>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</si>
  <si>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</si>
  <si>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</si>
  <si>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</si>
  <si>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</si>
  <si>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</si>
  <si>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</si>
  <si>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</si>
  <si>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</si>
  <si>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</si>
  <si>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</si>
  <si>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</si>
  <si>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</si>
  <si>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</si>
  <si>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</si>
  <si>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</si>
  <si>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</si>
  <si>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</si>
  <si>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</si>
  <si>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</si>
  <si>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</si>
  <si>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</si>
  <si>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</si>
  <si>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</si>
  <si>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</si>
  <si>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</si>
  <si>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</si>
  <si>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</si>
  <si>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</si>
  <si>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</si>
  <si>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</si>
  <si>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</si>
  <si>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</si>
  <si>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</si>
  <si>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</si>
  <si>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</si>
  <si>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</si>
  <si>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</si>
  <si>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</si>
  <si>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</si>
  <si>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</si>
  <si>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</si>
  <si>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</si>
  <si>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</si>
  <si>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</si>
  <si>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</si>
  <si>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</si>
  <si>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</si>
  <si>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</si>
  <si>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</si>
  <si>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</si>
  <si>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</si>
  <si>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</si>
  <si>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8.4% of revenue against depreciation of 5.3%.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</si>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</sst>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-0.018374524462719366</v>
      </c>
    </row>
    <row r="7" spans="1:2" x14ac:dyDescent="0.25">
      <c r="A7" t="s">
        <v>5</v>
      </c>
      <c r="B7" s="6">
        <v>0.10063399209057344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0.05259531166343217</v>
      </c>
    </row>
    <row r="10" spans="1:2" x14ac:dyDescent="0.25">
      <c r="A10" t="s">
        <v>8</v>
      </c>
      <c r="B10" s="6">
        <v>0.08449858928416602</v>
      </c>
    </row>
    <row r="11" spans="1:2" x14ac:dyDescent="0.25">
      <c r="A11" t="s">
        <v>9</v>
      </c>
      <c r="B11" s="6">
        <v>0.27223088923556943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15.993061085321472</v>
      </c>
    </row>
    <row r="14" spans="1:3" x14ac:dyDescent="0.25">
      <c r="A14" t="s">
        <v>12</v>
      </c>
      <c r="B14" s="6">
        <v>0.09884115234313139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1.18358</v>
      </c>
      <c r="C19" s="8" t="s">
        <v>19</v>
      </c>
    </row>
    <row r="20" spans="1:2" x14ac:dyDescent="0.25">
      <c r="A20" t="s">
        <v>20</v>
      </c>
      <c r="B20" s="10">
        <f>B17+B19*B18</f>
        <v>0.11507690000000001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33802840064</v>
      </c>
    </row>
    <row r="23" spans="1:2" x14ac:dyDescent="0.25">
      <c r="A23" t="s">
        <v>24</v>
      </c>
      <c r="B23" s="11">
        <v>9246000000</v>
      </c>
    </row>
    <row r="24" spans="1:2" x14ac:dyDescent="0.25">
      <c r="A24" t="s">
        <v>25</v>
      </c>
      <c r="B24" s="10">
        <f>B22/(B22+B23)</f>
        <v>0.7852206938385767</v>
      </c>
    </row>
    <row r="25" spans="1:2" x14ac:dyDescent="0.25">
      <c r="A25" t="s">
        <v>26</v>
      </c>
      <c r="B25" s="10">
        <f>1-B24</f>
        <v>0.21477930616142327</v>
      </c>
    </row>
    <row r="26" spans="1:2" x14ac:dyDescent="0.25">
      <c r="A26" t="s">
        <v>27</v>
      </c>
      <c r="B26" s="12">
        <f>B24*B20+B25*B21*(1-B8)</f>
        <v>0.09884115234313139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15049000000</v>
      </c>
      <c r="C29" s="8" t="s">
        <v>30</v>
      </c>
    </row>
    <row r="30" spans="1:2" x14ac:dyDescent="0.25">
      <c r="A30" t="s">
        <v>31</v>
      </c>
      <c r="B30" s="11">
        <v>5748000000</v>
      </c>
    </row>
    <row r="31" spans="1:2" x14ac:dyDescent="0.25">
      <c r="A31" t="s">
        <v>32</v>
      </c>
      <c r="B31" s="13">
        <v>364800000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-0.018374524462719366</v>
      </c>
      <c r="C5" s="10">
        <f>Assumptions!B6</f>
        <v>-0.018374524462719366</v>
      </c>
      <c r="D5" s="10">
        <f>Assumptions!B6</f>
        <v>-0.018374524462719366</v>
      </c>
      <c r="E5" s="10">
        <f>Assumptions!B6</f>
        <v>-0.018374524462719366</v>
      </c>
      <c r="F5" s="10">
        <f>Assumptions!B6</f>
        <v>-0.018374524462719366</v>
      </c>
    </row>
    <row r="6" spans="1:6" x14ac:dyDescent="0.25">
      <c r="A6" t="s">
        <v>43</v>
      </c>
      <c r="B6" s="18">
        <f>Assumptions!B29*(1+B5)</f>
        <v>14772481781.360537</v>
      </c>
      <c r="C6" s="18">
        <f>B6*(1+C5)</f>
        <v>14501044453.49385</v>
      </c>
      <c r="D6" s="18">
        <f>C6*(1+D5)</f>
        <v>14234594657.448147</v>
      </c>
      <c r="E6" s="18">
        <f>D6*(1+E5)</f>
        <v>13973040749.697971</v>
      </c>
      <c r="F6" s="18">
        <f>E6*(1+F5)</f>
        <v>13716292770.624071</v>
      </c>
    </row>
    <row r="7" spans="1:6" x14ac:dyDescent="0.25">
      <c r="A7" t="s">
        <v>5</v>
      </c>
      <c r="B7" s="10">
        <f>Assumptions!B7</f>
        <v>0.10063399209057344</v>
      </c>
      <c r="C7" s="10">
        <f>Assumptions!B7</f>
        <v>0.10063399209057344</v>
      </c>
      <c r="D7" s="10">
        <f>Assumptions!B7</f>
        <v>0.10063399209057344</v>
      </c>
      <c r="E7" s="10">
        <f>Assumptions!B7</f>
        <v>0.10063399209057344</v>
      </c>
      <c r="F7" s="10">
        <f>Assumptions!B7</f>
        <v>0.10063399209057344</v>
      </c>
    </row>
    <row r="8" spans="1:6" x14ac:dyDescent="0.25">
      <c r="A8" t="s">
        <v>44</v>
      </c>
      <c r="B8" s="18">
        <f>B6*B7</f>
        <v>1486613814.7435765</v>
      </c>
      <c r="C8" s="18">
        <f>C6*C7</f>
        <v>1459297992.837954</v>
      </c>
      <c r="D8" s="18">
        <f>D6*D7</f>
        <v>1432484086.1701558</v>
      </c>
      <c r="E8" s="18">
        <f>E6*E7</f>
        <v>1406162872.286366</v>
      </c>
      <c r="F8" s="18">
        <f>F6*F7</f>
        <v>1380325298.1909726</v>
      </c>
    </row>
    <row r="9" spans="1:6" x14ac:dyDescent="0.25">
      <c r="A9" t="s">
        <v>45</v>
      </c>
      <c r="B9" s="18">
        <f>B8*(1-Assumptions!B8)</f>
        <v>1174424913.6474254</v>
      </c>
      <c r="C9" s="18">
        <f>C8*(1-Assumptions!B8)</f>
        <v>1152845414.3419838</v>
      </c>
      <c r="D9" s="18">
        <f>D8*(1-Assumptions!B8)</f>
        <v>1131662428.074423</v>
      </c>
      <c r="E9" s="18">
        <f>E8*(1-Assumptions!B8)</f>
        <v>1110868669.106229</v>
      </c>
      <c r="F9" s="18">
        <f>F8*(1-Assumptions!B8)</f>
        <v>1090456985.5708685</v>
      </c>
    </row>
    <row r="10" spans="1:6" x14ac:dyDescent="0.25">
      <c r="A10" t="s">
        <v>46</v>
      </c>
      <c r="B10" s="18">
        <f>B6*Assumptions!B9</f>
        <v>776963283.333031</v>
      </c>
      <c r="C10" s="18">
        <f>C6*Assumptions!B9</f>
        <v>762686952.4767935</v>
      </c>
      <c r="D10" s="18">
        <f>D6*Assumptions!B9</f>
        <v>748672942.4111117</v>
      </c>
      <c r="E10" s="18">
        <f>E6*Assumptions!B9</f>
        <v>734916433.1162027</v>
      </c>
      <c r="F10" s="18">
        <f>F6*Assumptions!B9</f>
        <v>721412693.1378546</v>
      </c>
    </row>
    <row r="11" spans="1:6" x14ac:dyDescent="0.25">
      <c r="A11" t="s">
        <v>47</v>
      </c>
      <c r="B11" s="18">
        <f>-B6*Assumptions!B10</f>
        <v>-1248253870.7510092</v>
      </c>
      <c r="C11" s="18">
        <f>-C6*Assumptions!B10</f>
        <v>-1225317799.4672105</v>
      </c>
      <c r="D11" s="18">
        <f>-D6*Assumptions!B10</f>
        <v>-1202803167.586295</v>
      </c>
      <c r="E11" s="18">
        <f>-E6*Assumptions!B10</f>
        <v>-1180702231.3596442</v>
      </c>
      <c r="F11" s="18">
        <f>-F6*Assumptions!B10</f>
        <v>-1159007389.326339</v>
      </c>
    </row>
    <row r="12" spans="1:6" x14ac:dyDescent="0.25">
      <c r="A12" t="s">
        <v>48</v>
      </c>
      <c r="B12" s="18">
        <f>-(B6-Assumptions!B29)*Assumptions!B11</f>
        <v>75276800.55005674</v>
      </c>
      <c r="C12" s="18">
        <f>-(C6-B6)*Assumptions!B11</f>
        <v>73893625.1368747</v>
      </c>
      <c r="D12" s="18">
        <f>-(D6-C6)*Assumptions!B11</f>
        <v>72535864.91415808</v>
      </c>
      <c r="E12" s="18">
        <f>-(E6-D6)*Assumptions!B11</f>
        <v>71203052.88986836</v>
      </c>
      <c r="F12" s="18">
        <f>-(F6-E6)*Assumptions!B11</f>
        <v>69894730.65272322</v>
      </c>
    </row>
    <row r="13" spans="1:6" x14ac:dyDescent="0.25">
      <c r="A13" s="19" t="s">
        <v>49</v>
      </c>
      <c r="B13" s="20">
        <f>B9+B10+B11+B12</f>
        <v>778411126.7795038</v>
      </c>
      <c r="C13" s="20">
        <f>C9+C10+C11+C12</f>
        <v>764108192.4884415</v>
      </c>
      <c r="D13" s="20">
        <f>D9+D10+D11+D12</f>
        <v>750068067.8133979</v>
      </c>
      <c r="E13" s="20">
        <f>E9+E10+E11+E12</f>
        <v>736285923.7526559</v>
      </c>
      <c r="F13" s="20">
        <f>F9+F10+F11+F12</f>
        <v>722757020.0351073</v>
      </c>
    </row>
    <row r="14" spans="1:6" x14ac:dyDescent="0.25">
      <c r="A14" t="s">
        <v>50</v>
      </c>
      <c r="B14" s="21">
        <f>1/(1+Assumptions!$B$26)^(1-0.5*Assumptions!$B$32)</f>
        <v>0.9539652218256311</v>
      </c>
      <c r="C14" s="21">
        <f>1/(1+Assumptions!$B$26)^(2-0.5*Assumptions!$B$32)</f>
        <v>0.8681557109427765</v>
      </c>
      <c r="D14" s="21">
        <f>1/(1+Assumptions!$B$26)^(3-0.5*Assumptions!$B$32)</f>
        <v>0.790064796073164</v>
      </c>
      <c r="E14" s="21">
        <f>1/(1+Assumptions!$B$26)^(4-0.5*Assumptions!$B$32)</f>
        <v>0.7189981867610771</v>
      </c>
      <c r="F14" s="21">
        <f>1/(1+Assumptions!$B$26)^(5-0.5*Assumptions!$B$32)</f>
        <v>0.6543240442241447</v>
      </c>
    </row>
    <row r="15" spans="1:6" x14ac:dyDescent="0.25">
      <c r="A15" s="19" t="s">
        <v>51</v>
      </c>
      <c r="B15" s="20">
        <f>B13*B14</f>
        <v>742577143.2297488</v>
      </c>
      <c r="C15" s="20">
        <f>C13*C14</f>
        <v>663364891.0870029</v>
      </c>
      <c r="D15" s="20">
        <f>D13*D14</f>
        <v>592602375.0379844</v>
      </c>
      <c r="E15" s="20">
        <f>E13*E14</f>
        <v>529388244.1158642</v>
      </c>
      <c r="F15" s="20">
        <f>F13*F14</f>
        <v>472917296.34076256</v>
      </c>
    </row>
    <row r="17" spans="1:2" x14ac:dyDescent="0.25">
      <c r="A17" s="22" t="s">
        <v>52</v>
      </c>
      <c r="B17" s="23">
        <f>SUM(B15:F15)</f>
        <v>3000849949.8113627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722757020.0351073</v>
      </c>
    </row>
    <row r="5" spans="1:2" x14ac:dyDescent="0.25">
      <c r="A5" t="s">
        <v>56</v>
      </c>
      <c r="B5" s="18">
        <f>IF(Assumptions!$B$33=0,B4,B4-Forecast!F11-Forecast!F10-Forecast!F12)</f>
        <v>1090456985.5708685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0.25293108596317665</v>
      </c>
    </row>
    <row r="7" spans="1:2" x14ac:dyDescent="0.25">
      <c r="A7" t="s">
        <v>58</v>
      </c>
      <c r="B7" s="18">
        <f>-MAX(Forecast!F9,0)*B6</f>
        <v>-275810469.55657184</v>
      </c>
    </row>
    <row r="8" spans="1:2" x14ac:dyDescent="0.25">
      <c r="A8" t="s">
        <v>59</v>
      </c>
      <c r="B8" s="18">
        <f>IF(OR(Assumptions!$B$33=0,Assumptions!B12&lt;=0),B5,MAX(B5+B7,0))</f>
        <v>814646516.0142967</v>
      </c>
    </row>
    <row r="9" spans="1:2" x14ac:dyDescent="0.25">
      <c r="A9" t="s">
        <v>60</v>
      </c>
      <c r="B9" s="18">
        <f>B8*(1+Assumptions!B12)/(Assumptions!B26-Assumptions!B12)</f>
        <v>11308229251.819443</v>
      </c>
    </row>
    <row r="10" spans="1:2" x14ac:dyDescent="0.25">
      <c r="A10" t="s">
        <v>61</v>
      </c>
      <c r="B10" s="18">
        <f>B9/(1+Assumptions!B26)^(5-0.5*Assumptions!B32)</f>
        <v>7399246297.064272</v>
      </c>
    </row>
    <row r="11" spans="1:2" x14ac:dyDescent="0.25">
      <c r="A11" t="s">
        <v>62</v>
      </c>
      <c r="B11" s="18">
        <f>Forecast!B17+B10</f>
        <v>10400096246.875635</v>
      </c>
    </row>
    <row r="12" spans="1:2" x14ac:dyDescent="0.25">
      <c r="A12" t="s">
        <v>63</v>
      </c>
      <c r="B12" s="18">
        <f>-Assumptions!B30</f>
        <v>-5748000000</v>
      </c>
    </row>
    <row r="13" spans="1:2" x14ac:dyDescent="0.25">
      <c r="A13" t="s">
        <v>64</v>
      </c>
      <c r="B13" s="18">
        <f>B11+B12</f>
        <v>4652096246.875635</v>
      </c>
    </row>
    <row r="14" spans="1:2" x14ac:dyDescent="0.25">
      <c r="A14" s="19" t="s">
        <v>65</v>
      </c>
      <c r="B14" s="24">
        <f>B13/Assumptions!B31</f>
        <v>12.752456817093298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2101737991.3288271</v>
      </c>
    </row>
    <row r="18" spans="1:2" x14ac:dyDescent="0.25">
      <c r="A18" t="s">
        <v>60</v>
      </c>
      <c r="B18" s="18">
        <f>B17*Assumptions!B13</f>
        <v>33613224080.66278</v>
      </c>
    </row>
    <row r="19" spans="1:2" x14ac:dyDescent="0.25">
      <c r="A19" t="s">
        <v>61</v>
      </c>
      <c r="B19" s="18">
        <f>B18/(1+Assumptions!B26)^(5-0.5*Assumptions!B32)</f>
        <v>21993940719.871677</v>
      </c>
    </row>
    <row r="20" spans="1:2" x14ac:dyDescent="0.25">
      <c r="A20" t="s">
        <v>62</v>
      </c>
      <c r="B20" s="18">
        <f>Forecast!B17+B19</f>
        <v>24994790669.68304</v>
      </c>
    </row>
    <row r="21" spans="1:2" x14ac:dyDescent="0.25">
      <c r="A21" t="s">
        <v>63</v>
      </c>
      <c r="B21" s="18">
        <f>-Assumptions!B30</f>
        <v>-5748000000</v>
      </c>
    </row>
    <row r="22" spans="1:2" x14ac:dyDescent="0.25">
      <c r="A22" t="s">
        <v>64</v>
      </c>
      <c r="B22" s="18">
        <f>B20+B21</f>
        <v>19246790669.68304</v>
      </c>
    </row>
    <row r="23" spans="1:2" x14ac:dyDescent="0.25">
      <c r="A23" s="19" t="s">
        <v>65</v>
      </c>
      <c r="B23" s="25">
        <f>B22/Assumptions!B31</f>
        <v>52.75984284452588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93.43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12.752456817093298</v>
      </c>
    </row>
    <row r="29" spans="1:2" x14ac:dyDescent="0.25">
      <c r="A29" s="19" t="s">
        <v>73</v>
      </c>
      <c r="B29" s="12">
        <f>B28/B26-1</f>
        <v>-0.8635079009194766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0.078841</v>
      </c>
      <c r="B5" s="31">
        <v>21.442906140001813</v>
      </c>
      <c r="C5" s="31">
        <v>22.153621821173832</v>
      </c>
      <c r="D5" s="31">
        <v>22.97625952526588</v>
      </c>
      <c r="E5" s="31">
        <v>23.945192634145656</v>
      </c>
      <c r="F5" s="31">
        <v>25.11047545934382</v>
      </c>
    </row>
    <row r="6" spans="1:6" x14ac:dyDescent="0.25">
      <c r="A6" s="30">
        <v>0.088841</v>
      </c>
      <c r="B6" s="31">
        <v>16.38040650956595</v>
      </c>
      <c r="C6" s="31">
        <v>16.693119525745114</v>
      </c>
      <c r="D6" s="31">
        <v>17.038569137614232</v>
      </c>
      <c r="E6" s="31">
        <v>17.425100698504334</v>
      </c>
      <c r="F6" s="31">
        <v>17.86415956112641</v>
      </c>
    </row>
    <row r="7" spans="1:6" x14ac:dyDescent="0.25">
      <c r="A7" s="30">
        <v>0.098841</v>
      </c>
      <c r="B7" s="31">
        <v>12.554619762164348</v>
      </c>
      <c r="C7" s="31">
        <v>12.65356154540314</v>
      </c>
      <c r="D7" s="32">
        <v>12.752503328641925</v>
      </c>
      <c r="E7" s="31">
        <v>12.851445111880711</v>
      </c>
      <c r="F7" s="31">
        <v>12.950386895119495</v>
      </c>
    </row>
    <row r="8" spans="1:6" x14ac:dyDescent="0.25">
      <c r="A8" s="30">
        <v>0.108841</v>
      </c>
      <c r="B8" s="31">
        <v>9.813421649622468</v>
      </c>
      <c r="C8" s="31">
        <v>9.899683634913622</v>
      </c>
      <c r="D8" s="31">
        <v>9.985945620204776</v>
      </c>
      <c r="E8" s="31">
        <v>10.07220760549593</v>
      </c>
      <c r="F8" s="31">
        <v>10.158469590787082</v>
      </c>
    </row>
    <row r="9" spans="1:6" x14ac:dyDescent="0.25">
      <c r="A9" s="30">
        <v>0.118841</v>
      </c>
      <c r="B9" s="31">
        <v>7.543809844061008</v>
      </c>
      <c r="C9" s="31">
        <v>7.619685024827036</v>
      </c>
      <c r="D9" s="31">
        <v>7.695560205593062</v>
      </c>
      <c r="E9" s="31">
        <v>7.771435386359093</v>
      </c>
      <c r="F9" s="31">
        <v>7.847310567125124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15049000000</v>
      </c>
      <c r="C5" s="18">
        <v>14326000000</v>
      </c>
      <c r="D5" s="18">
        <v>15608000000</v>
      </c>
      <c r="E5" s="18">
        <v>15910000000</v>
      </c>
      <c r="F5" s="8" t="s">
        <v>84</v>
      </c>
    </row>
    <row r="6" spans="1:6" x14ac:dyDescent="0.25">
      <c r="A6" t="s">
        <v>44</v>
      </c>
      <c r="B6" s="18">
        <v>1677000000</v>
      </c>
      <c r="C6" s="18">
        <v>1141000000</v>
      </c>
      <c r="D6" s="18">
        <v>1563000000</v>
      </c>
      <c r="E6" s="18">
        <v>1771000000</v>
      </c>
      <c r="F6" s="8" t="s">
        <v>85</v>
      </c>
    </row>
    <row r="7" spans="1:6" x14ac:dyDescent="0.25">
      <c r="A7" t="s">
        <v>86</v>
      </c>
      <c r="B7" s="18">
        <v>796000000</v>
      </c>
      <c r="C7" s="18">
        <v>829000000</v>
      </c>
      <c r="D7" s="18">
        <v>825000000</v>
      </c>
      <c r="E7" s="18">
        <v>744000000</v>
      </c>
      <c r="F7" s="8" t="s">
        <v>87</v>
      </c>
    </row>
    <row r="8" spans="1:6" x14ac:dyDescent="0.25">
      <c r="A8" t="s">
        <v>88</v>
      </c>
      <c r="B8" s="18">
        <v>457000000</v>
      </c>
      <c r="C8" s="18">
        <v>602000000</v>
      </c>
      <c r="D8" s="18">
        <v>919000000</v>
      </c>
      <c r="E8" s="18">
        <v>3289000000</v>
      </c>
      <c r="F8" s="8" t="s">
        <v>89</v>
      </c>
    </row>
    <row r="9" spans="1:6" x14ac:dyDescent="0.25">
      <c r="A9" t="s">
        <v>90</v>
      </c>
      <c r="B9" s="18">
        <v>-590000000</v>
      </c>
      <c r="C9" s="18">
        <v>-349000000</v>
      </c>
      <c r="D9" s="18">
        <v>-631000000</v>
      </c>
      <c r="E9" s="18">
        <v>356000000</v>
      </c>
      <c r="F9" s="8" t="s">
        <v>91</v>
      </c>
    </row>
    <row r="10" spans="1:6" x14ac:dyDescent="0.25">
      <c r="A10" t="s">
        <v>92</v>
      </c>
      <c r="B10" s="18">
        <v>9246000000</v>
      </c>
      <c r="C10" s="18">
        <v>9467000000</v>
      </c>
      <c r="D10" s="18">
        <v>9826000000</v>
      </c>
      <c r="E10" s="18">
        <v>10169000000</v>
      </c>
      <c r="F10" s="8" t="s">
        <v>93</v>
      </c>
    </row>
    <row r="11" spans="1:6" x14ac:dyDescent="0.25">
      <c r="A11" t="s">
        <v>94</v>
      </c>
      <c r="B11" s="18">
        <v>3498000000</v>
      </c>
      <c r="C11" s="18">
        <v>2921000000</v>
      </c>
      <c r="D11" s="18">
        <v>3395000000</v>
      </c>
      <c r="E11" s="18">
        <v>4029000000</v>
      </c>
      <c r="F11" s="8" t="s">
        <v>95</v>
      </c>
    </row>
    <row r="12" spans="1:6" x14ac:dyDescent="0.25">
      <c r="A12" t="s">
        <v>32</v>
      </c>
      <c r="B12" s="34">
        <v>364800000</v>
      </c>
      <c r="C12" s="34">
        <v>360100000</v>
      </c>
      <c r="D12" s="34">
        <v>360800000</v>
      </c>
      <c r="E12" s="34">
        <v>360900000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