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<sst xmlns="http://schemas.openxmlformats.org/spreadsheetml/2006/main" count="112" uniqueCount="100">
  <si>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Endesa, S.A. (ELE.MC)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</si>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</sst>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-0.135552967665596</v>
      </c>
    </row>
    <row r="7" spans="1:2" x14ac:dyDescent="0.25">
      <c r="A7" t="s">
        <v>5</v>
      </c>
      <c r="B7" s="6">
        <v>0.18754413152344895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0.07756887354308947</v>
      </c>
    </row>
    <row r="10" spans="1:2" x14ac:dyDescent="0.25">
      <c r="A10" t="s">
        <v>8</v>
      </c>
      <c r="B10" s="6">
        <v>0.08314586329877628</v>
      </c>
    </row>
    <row r="11" spans="1:2" x14ac:dyDescent="0.25">
      <c r="A11" t="s">
        <v>9</v>
      </c>
      <c r="B11" s="6">
        <v>0.13523274478330657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9.652320148943788</v>
      </c>
    </row>
    <row r="14" spans="1:3" x14ac:dyDescent="0.25">
      <c r="A14" t="s">
        <v>12</v>
      </c>
      <c r="B14" s="6">
        <v>0.1800674126172757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0.70654</v>
      </c>
      <c r="C19" s="8" t="s">
        <v>19</v>
      </c>
    </row>
    <row r="20" spans="1:2" x14ac:dyDescent="0.25">
      <c r="A20" t="s">
        <v>20</v>
      </c>
      <c r="B20" s="10">
        <f>B17+B19*B18</f>
        <v>0.0879251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43285860352</v>
      </c>
    </row>
    <row r="23" spans="1:2" x14ac:dyDescent="0.25">
      <c r="A23" t="s">
        <v>24</v>
      </c>
      <c r="B23" s="11">
        <v>10895000000</v>
      </c>
    </row>
    <row r="24" spans="1:2" x14ac:dyDescent="0.25">
      <c r="A24" t="s">
        <v>25</v>
      </c>
      <c r="B24" s="10">
        <f>B22/(B22+B23)</f>
        <v>0.7989142304271691</v>
      </c>
    </row>
    <row r="25" spans="1:2" x14ac:dyDescent="0.25">
      <c r="A25" t="s">
        <v>26</v>
      </c>
      <c r="B25" s="10">
        <f>1-B24</f>
        <v>0.20108576957283086</v>
      </c>
    </row>
    <row r="26" spans="1:2" x14ac:dyDescent="0.25">
      <c r="A26" t="s">
        <v>27</v>
      </c>
      <c r="B26" s="12">
        <f>B24*B20+B25*B21*(1-B8)</f>
        <v>0.07657881534327607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21020000000</v>
      </c>
      <c r="C29" s="8" t="s">
        <v>30</v>
      </c>
    </row>
    <row r="30" spans="1:2" x14ac:dyDescent="0.25">
      <c r="A30" t="s">
        <v>31</v>
      </c>
      <c r="B30" s="11">
        <v>10632000000</v>
      </c>
    </row>
    <row r="31" spans="1:2" x14ac:dyDescent="0.25">
      <c r="A31" t="s">
        <v>32</v>
      </c>
      <c r="B31" s="13">
        <v>1048255762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-0.135552967665596</v>
      </c>
      <c r="C5" s="10">
        <f>Assumptions!B6</f>
        <v>-0.135552967665596</v>
      </c>
      <c r="D5" s="10">
        <f>Assumptions!B6</f>
        <v>-0.135552967665596</v>
      </c>
      <c r="E5" s="10">
        <f>Assumptions!B6</f>
        <v>-0.135552967665596</v>
      </c>
      <c r="F5" s="10">
        <f>Assumptions!B6</f>
        <v>-0.135552967665596</v>
      </c>
    </row>
    <row r="6" spans="1:6" x14ac:dyDescent="0.25">
      <c r="A6" t="s">
        <v>43</v>
      </c>
      <c r="B6" s="18">
        <f>Assumptions!B29*(1+B5)</f>
        <v>18170676619.66917</v>
      </c>
      <c r="C6" s="18">
        <f>B6*(1+C5)</f>
        <v>15707587479.381155</v>
      </c>
      <c r="D6" s="18">
        <f>C6*(1+D5)</f>
        <v>13578377381.68408</v>
      </c>
      <c r="E6" s="18">
        <f>D6*(1+E5)</f>
        <v>11737788031.513397</v>
      </c>
      <c r="F6" s="18">
        <f>E6*(1+F5)</f>
        <v>10146696030.012043</v>
      </c>
    </row>
    <row r="7" spans="1:6" x14ac:dyDescent="0.25">
      <c r="A7" t="s">
        <v>5</v>
      </c>
      <c r="B7" s="10">
        <f>Assumptions!B7</f>
        <v>0.18754413152344895</v>
      </c>
      <c r="C7" s="10">
        <f>Assumptions!B7</f>
        <v>0.18754413152344895</v>
      </c>
      <c r="D7" s="10">
        <f>Assumptions!B7</f>
        <v>0.18754413152344895</v>
      </c>
      <c r="E7" s="10">
        <f>Assumptions!B7</f>
        <v>0.18754413152344895</v>
      </c>
      <c r="F7" s="10">
        <f>Assumptions!B7</f>
        <v>0.18754413152344895</v>
      </c>
    </row>
    <row r="8" spans="1:6" x14ac:dyDescent="0.25">
      <c r="A8" t="s">
        <v>44</v>
      </c>
      <c r="B8" s="18">
        <f>B6*B7</f>
        <v>3407803765.8292937</v>
      </c>
      <c r="C8" s="18">
        <f>C6*C7</f>
        <v>2945865852.1491394</v>
      </c>
      <c r="D8" s="18">
        <f>D6*D7</f>
        <v>2546544993.5455837</v>
      </c>
      <c r="E8" s="18">
        <f>E6*E7</f>
        <v>2201353262.3765135</v>
      </c>
      <c r="F8" s="18">
        <f>F6*F7</f>
        <v>1902953294.781036</v>
      </c>
    </row>
    <row r="9" spans="1:6" x14ac:dyDescent="0.25">
      <c r="A9" t="s">
        <v>45</v>
      </c>
      <c r="B9" s="18">
        <f>B8*(1-Assumptions!B8)</f>
        <v>2555852824.37197</v>
      </c>
      <c r="C9" s="18">
        <f>C8*(1-Assumptions!B8)</f>
        <v>2209399389.1118546</v>
      </c>
      <c r="D9" s="18">
        <f>D8*(1-Assumptions!B8)</f>
        <v>1909908745.1591878</v>
      </c>
      <c r="E9" s="18">
        <f>E8*(1-Assumptions!B8)</f>
        <v>1651014946.782385</v>
      </c>
      <c r="F9" s="18">
        <f>F8*(1-Assumptions!B8)</f>
        <v>1427214971.0857768</v>
      </c>
    </row>
    <row r="10" spans="1:6" x14ac:dyDescent="0.25">
      <c r="A10" t="s">
        <v>46</v>
      </c>
      <c r="B10" s="18">
        <f>B6*Assumptions!B9</f>
        <v>1409478916.9034903</v>
      </c>
      <c r="C10" s="18">
        <f>C6*Assumptions!B9</f>
        <v>1218419866.8551323</v>
      </c>
      <c r="D10" s="18">
        <f>D6*Assumptions!B9</f>
        <v>1053259438.0401988</v>
      </c>
      <c r="E10" s="18">
        <f>E6*Assumptions!B9</f>
        <v>910486995.4920518</v>
      </c>
      <c r="F10" s="18">
        <f>F6*Assumptions!B9</f>
        <v>787067781.2321721</v>
      </c>
    </row>
    <row r="11" spans="1:6" x14ac:dyDescent="0.25">
      <c r="A11" t="s">
        <v>47</v>
      </c>
      <c r="B11" s="18">
        <f>-B6*Assumptions!B10</f>
        <v>-1510816594.265283</v>
      </c>
      <c r="C11" s="18">
        <f>-C6*Assumptions!B10</f>
        <v>-1306020921.3141954</v>
      </c>
      <c r="D11" s="18">
        <f>-D6*Assumptions!B10</f>
        <v>-1128985909.5967004</v>
      </c>
      <c r="E11" s="18">
        <f>-E6*Assumptions!B10</f>
        <v>-975948519.0982252</v>
      </c>
      <c r="F11" s="18">
        <f>-F6*Assumptions!B10</f>
        <v>-843655801.0456173</v>
      </c>
    </row>
    <row r="12" spans="1:6" x14ac:dyDescent="0.25">
      <c r="A12" t="s">
        <v>48</v>
      </c>
      <c r="B12" s="18">
        <f>-(B6-Assumptions!B29)*Assumptions!B11</f>
        <v>385321821.49738747</v>
      </c>
      <c r="C12" s="18">
        <f>-(C6-B6)*Assumptions!B11</f>
        <v>333090305.0871032</v>
      </c>
      <c r="D12" s="18">
        <f>-(D6-C6)*Assumptions!B11</f>
        <v>287938925.7319078</v>
      </c>
      <c r="E12" s="18">
        <f>-(E6-D6)*Assumptions!B11</f>
        <v>248907949.84250405</v>
      </c>
      <c r="F12" s="18">
        <f>-(F6-E6)*Assumptions!B11</f>
        <v>215167738.56579307</v>
      </c>
    </row>
    <row r="13" spans="1:6" x14ac:dyDescent="0.25">
      <c r="A13" s="19" t="s">
        <v>49</v>
      </c>
      <c r="B13" s="20">
        <f>B9+B10+B11+B12</f>
        <v>2839836968.5075645</v>
      </c>
      <c r="C13" s="20">
        <f>C9+C10+C11+C12</f>
        <v>2454888639.7398944</v>
      </c>
      <c r="D13" s="20">
        <f>D9+D10+D11+D12</f>
        <v>2122121199.334594</v>
      </c>
      <c r="E13" s="20">
        <f>E9+E10+E11+E12</f>
        <v>1834461373.0187159</v>
      </c>
      <c r="F13" s="20">
        <f>F9+F10+F11+F12</f>
        <v>1585794689.8381245</v>
      </c>
    </row>
    <row r="14" spans="1:6" x14ac:dyDescent="0.25">
      <c r="A14" t="s">
        <v>50</v>
      </c>
      <c r="B14" s="21">
        <f>1/(1+Assumptions!$B$26)^(1-0.5*Assumptions!$B$32)</f>
        <v>0.9637781701631817</v>
      </c>
      <c r="C14" s="21">
        <f>1/(1+Assumptions!$B$26)^(2-0.5*Assumptions!$B$32)</f>
        <v>0.8952230495598904</v>
      </c>
      <c r="D14" s="21">
        <f>1/(1+Assumptions!$B$26)^(3-0.5*Assumptions!$B$32)</f>
        <v>0.8315443670275465</v>
      </c>
      <c r="E14" s="21">
        <f>1/(1+Assumptions!$B$26)^(4-0.5*Assumptions!$B$32)</f>
        <v>0.7723952535350621</v>
      </c>
      <c r="F14" s="21">
        <f>1/(1+Assumptions!$B$26)^(5-0.5*Assumptions!$B$32)</f>
        <v>0.7174535134139506</v>
      </c>
    </row>
    <row r="15" spans="1:6" x14ac:dyDescent="0.25">
      <c r="A15" s="19" t="s">
        <v>51</v>
      </c>
      <c r="B15" s="20">
        <f>B13*B14</f>
        <v>2736972877.0699778</v>
      </c>
      <c r="C15" s="20">
        <f>C13*C14</f>
        <v>2197672894.3978796</v>
      </c>
      <c r="D15" s="20">
        <f>D13*D14</f>
        <v>1764637929.4564228</v>
      </c>
      <c r="E15" s="20">
        <f>E13*E14</f>
        <v>1416929257.313069</v>
      </c>
      <c r="F15" s="20">
        <f>F13*F14</f>
        <v>1137733971.7775486</v>
      </c>
    </row>
    <row r="17" spans="1:2" x14ac:dyDescent="0.25">
      <c r="A17" s="22" t="s">
        <v>52</v>
      </c>
      <c r="B17" s="23">
        <f>SUM(B15:F15)</f>
        <v>9253946930.014898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1585794689.8381245</v>
      </c>
    </row>
    <row r="5" spans="1:2" x14ac:dyDescent="0.25">
      <c r="A5" t="s">
        <v>56</v>
      </c>
      <c r="B5" s="18">
        <f>IF(Assumptions!$B$33=0,B4,B4-Forecast!F11-Forecast!F10-Forecast!F12)</f>
        <v>1546352841.7632465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0.1388368924539181</v>
      </c>
    </row>
    <row r="7" spans="1:2" x14ac:dyDescent="0.25">
      <c r="A7" t="s">
        <v>58</v>
      </c>
      <c r="B7" s="18">
        <f>-MAX(Forecast!F9,0)*B6</f>
        <v>-214690823.18769446</v>
      </c>
    </row>
    <row r="8" spans="1:2" x14ac:dyDescent="0.25">
      <c r="A8" t="s">
        <v>59</v>
      </c>
      <c r="B8" s="18">
        <f>IF(OR(Assumptions!$B$33=0,Assumptions!B12&lt;=0),B5,MAX(B5+B7,0))</f>
        <v>1331662018.575552</v>
      </c>
    </row>
    <row r="9" spans="1:2" x14ac:dyDescent="0.25">
      <c r="A9" t="s">
        <v>60</v>
      </c>
      <c r="B9" s="18">
        <f>B8*(1+Assumptions!B12)/(Assumptions!B26-Assumptions!B12)</f>
        <v>26463453259.941517</v>
      </c>
    </row>
    <row r="10" spans="1:2" x14ac:dyDescent="0.25">
      <c r="A10" t="s">
        <v>61</v>
      </c>
      <c r="B10" s="18">
        <f>B9/(1+Assumptions!B26)^(5-0.5*Assumptions!B32)</f>
        <v>18986297518.410904</v>
      </c>
    </row>
    <row r="11" spans="1:2" x14ac:dyDescent="0.25">
      <c r="A11" t="s">
        <v>62</v>
      </c>
      <c r="B11" s="18">
        <f>Forecast!B17+B10</f>
        <v>28240244448.425804</v>
      </c>
    </row>
    <row r="12" spans="1:2" x14ac:dyDescent="0.25">
      <c r="A12" t="s">
        <v>63</v>
      </c>
      <c r="B12" s="18">
        <f>-Assumptions!B30</f>
        <v>-10632000000</v>
      </c>
    </row>
    <row r="13" spans="1:2" x14ac:dyDescent="0.25">
      <c r="A13" t="s">
        <v>64</v>
      </c>
      <c r="B13" s="18">
        <f>B11+B12</f>
        <v>17608244448.425804</v>
      </c>
    </row>
    <row r="14" spans="1:2" x14ac:dyDescent="0.25">
      <c r="A14" s="19" t="s">
        <v>65</v>
      </c>
      <c r="B14" s="24">
        <f>B13/Assumptions!B31</f>
        <v>16.797660539285264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2690021076.013208</v>
      </c>
    </row>
    <row r="18" spans="1:2" x14ac:dyDescent="0.25">
      <c r="A18" t="s">
        <v>60</v>
      </c>
      <c r="B18" s="18">
        <f>B17*Assumptions!B13</f>
        <v>25964944633.085735</v>
      </c>
    </row>
    <row r="19" spans="1:2" x14ac:dyDescent="0.25">
      <c r="A19" t="s">
        <v>61</v>
      </c>
      <c r="B19" s="18">
        <f>B18/(1+Assumptions!B26)^(5-0.5*Assumptions!B32)</f>
        <v>18628640752.60606</v>
      </c>
    </row>
    <row r="20" spans="1:2" x14ac:dyDescent="0.25">
      <c r="A20" t="s">
        <v>62</v>
      </c>
      <c r="B20" s="18">
        <f>Forecast!B17+B19</f>
        <v>27882587682.620956</v>
      </c>
    </row>
    <row r="21" spans="1:2" x14ac:dyDescent="0.25">
      <c r="A21" t="s">
        <v>63</v>
      </c>
      <c r="B21" s="18">
        <f>-Assumptions!B30</f>
        <v>-10632000000</v>
      </c>
    </row>
    <row r="22" spans="1:2" x14ac:dyDescent="0.25">
      <c r="A22" t="s">
        <v>64</v>
      </c>
      <c r="B22" s="18">
        <f>B20+B21</f>
        <v>17250587682.620956</v>
      </c>
    </row>
    <row r="23" spans="1:2" x14ac:dyDescent="0.25">
      <c r="A23" s="19" t="s">
        <v>65</v>
      </c>
      <c r="B23" s="25">
        <f>B22/Assumptions!B31</f>
        <v>16.456468266587937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42.59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16.797660539285264</v>
      </c>
    </row>
    <row r="29" spans="1:2" x14ac:dyDescent="0.25">
      <c r="A29" s="19" t="s">
        <v>73</v>
      </c>
      <c r="B29" s="12">
        <f>B28/B26-1</f>
        <v>-0.605596136668578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0.056579</v>
      </c>
      <c r="B5" s="31">
        <v>24.807021113805025</v>
      </c>
      <c r="C5" s="31">
        <v>27.582084022575863</v>
      </c>
      <c r="D5" s="31">
        <v>31.22578982998766</v>
      </c>
      <c r="E5" s="31">
        <v>36.22836177542544</v>
      </c>
      <c r="F5" s="31">
        <v>43.534375236357555</v>
      </c>
    </row>
    <row r="6" spans="1:6" x14ac:dyDescent="0.25">
      <c r="A6" s="30">
        <v>0.066579</v>
      </c>
      <c r="B6" s="31">
        <v>18.769263862955647</v>
      </c>
      <c r="C6" s="31">
        <v>20.344060740093504</v>
      </c>
      <c r="D6" s="31">
        <v>22.290234632660432</v>
      </c>
      <c r="E6" s="31">
        <v>24.760076615629426</v>
      </c>
      <c r="F6" s="31">
        <v>28.002328617371553</v>
      </c>
    </row>
    <row r="7" spans="1:6" x14ac:dyDescent="0.25">
      <c r="A7" s="30">
        <v>0.076579</v>
      </c>
      <c r="B7" s="31">
        <v>14.677072941451156</v>
      </c>
      <c r="C7" s="31">
        <v>15.646226162280273</v>
      </c>
      <c r="D7" s="32">
        <v>16.797578581740073</v>
      </c>
      <c r="E7" s="31">
        <v>18.18980445173508</v>
      </c>
      <c r="F7" s="31">
        <v>19.90980104632258</v>
      </c>
    </row>
    <row r="8" spans="1:6" x14ac:dyDescent="0.25">
      <c r="A8" s="30">
        <v>0.086579</v>
      </c>
      <c r="B8" s="31">
        <v>11.71563186319808</v>
      </c>
      <c r="C8" s="31">
        <v>12.344714359767575</v>
      </c>
      <c r="D8" s="31">
        <v>13.071377550266584</v>
      </c>
      <c r="E8" s="31">
        <v>13.92149164111344</v>
      </c>
      <c r="F8" s="31">
        <v>14.930958133020017</v>
      </c>
    </row>
    <row r="9" spans="1:6" x14ac:dyDescent="0.25">
      <c r="A9" s="30">
        <v>0.096579</v>
      </c>
      <c r="B9" s="31">
        <v>9.469616266931682</v>
      </c>
      <c r="C9" s="31">
        <v>9.893105489861666</v>
      </c>
      <c r="D9" s="31">
        <v>10.371979308645699</v>
      </c>
      <c r="E9" s="31">
        <v>10.918715665845413</v>
      </c>
      <c r="F9" s="31">
        <v>11.549845165664108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21020000000</v>
      </c>
      <c r="C5" s="18">
        <v>20927000000</v>
      </c>
      <c r="D5" s="18">
        <v>25064000000</v>
      </c>
      <c r="E5" s="18">
        <v>32540000000</v>
      </c>
      <c r="F5" s="8" t="s">
        <v>84</v>
      </c>
    </row>
    <row r="6" spans="1:6" x14ac:dyDescent="0.25">
      <c r="A6" t="s">
        <v>44</v>
      </c>
      <c r="B6" s="18">
        <v>3526000000</v>
      </c>
      <c r="C6" s="18">
        <v>4180000000</v>
      </c>
      <c r="D6" s="18">
        <v>5095000000</v>
      </c>
      <c r="E6" s="18">
        <v>5838000000</v>
      </c>
      <c r="F6" s="8" t="s">
        <v>85</v>
      </c>
    </row>
    <row r="7" spans="1:6" x14ac:dyDescent="0.25">
      <c r="A7" t="s">
        <v>86</v>
      </c>
      <c r="B7" s="18">
        <v>2060000000</v>
      </c>
      <c r="C7" s="18">
        <v>1903000000</v>
      </c>
      <c r="D7" s="18">
        <v>1768000000</v>
      </c>
      <c r="E7" s="18">
        <v>1653000000</v>
      </c>
      <c r="F7" s="8" t="s">
        <v>87</v>
      </c>
    </row>
    <row r="8" spans="1:6" x14ac:dyDescent="0.25">
      <c r="A8" t="s">
        <v>88</v>
      </c>
      <c r="B8" s="18">
        <v>1844000000</v>
      </c>
      <c r="C8" s="18">
        <v>1846000000</v>
      </c>
      <c r="D8" s="18">
        <v>2284000000</v>
      </c>
      <c r="E8" s="18">
        <v>2132000000</v>
      </c>
      <c r="F8" s="8" t="s">
        <v>89</v>
      </c>
    </row>
    <row r="9" spans="1:6" x14ac:dyDescent="0.25">
      <c r="A9" t="s">
        <v>90</v>
      </c>
      <c r="B9" s="18">
        <v>776000000</v>
      </c>
      <c r="C9" s="18">
        <v>733000000</v>
      </c>
      <c r="D9" s="18">
        <v>-1011000000</v>
      </c>
      <c r="E9" s="18">
        <v>3279000000</v>
      </c>
      <c r="F9" s="8" t="s">
        <v>91</v>
      </c>
    </row>
    <row r="10" spans="1:6" x14ac:dyDescent="0.25">
      <c r="A10" t="s">
        <v>92</v>
      </c>
      <c r="B10" s="18">
        <v>10895000000</v>
      </c>
      <c r="C10" s="18">
        <v>10963000000</v>
      </c>
      <c r="D10" s="18">
        <v>13727000000</v>
      </c>
      <c r="E10" s="18">
        <v>18488000000</v>
      </c>
      <c r="F10" s="8" t="s">
        <v>93</v>
      </c>
    </row>
    <row r="11" spans="1:6" x14ac:dyDescent="0.25">
      <c r="A11" t="s">
        <v>94</v>
      </c>
      <c r="B11" s="18">
        <v>263000000</v>
      </c>
      <c r="C11" s="18">
        <v>1341000000</v>
      </c>
      <c r="D11" s="18">
        <v>3323000000</v>
      </c>
      <c r="E11" s="18">
        <v>7137000000</v>
      </c>
      <c r="F11" s="8" t="s">
        <v>95</v>
      </c>
    </row>
    <row r="12" spans="1:6" x14ac:dyDescent="0.25">
      <c r="A12" t="s">
        <v>32</v>
      </c>
      <c r="B12" s="34">
        <v>1048255762</v>
      </c>
      <c r="C12" s="34">
        <v>1058458650</v>
      </c>
      <c r="D12" s="34">
        <v>1058471772</v>
      </c>
      <c r="E12" s="34">
        <v>1058566751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2026-09-19T01:04:48Z</dcterms:modified>
</cp:coreProperties>
</file>