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<sst xmlns="http://schemas.openxmlformats.org/spreadsheetml/2006/main" count="120" uniqueCount="107">
  <si>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Elevance Health, Inc. (ELV)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</si>
  <si>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</si>
  <si>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</si>
  <si>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</si>
  <si>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</si>
  <si>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</si>
  <si>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</si>
  <si>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</si>
  <si>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</si>
  <si>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</si>
  <si>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</si>
  <si>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</si>
  <si>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</si>
  <si>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</si>
  <si>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</si>
  <si>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</si>
  <si>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</si>
  <si>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</si>
  <si>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</si>
  <si>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</si>
  <si>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</si>
  <si>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</si>
  <si>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</si>
  <si>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</si>
  <si>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+ 70bp, the spread for a A+ rating at 5.8x interest cover. Book interest / average debt was lower, at 4.4%.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</si>
  <si>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</si>
  <si>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</si>
  <si>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</si>
  <si>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</si>
  <si>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</si>
  <si>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</si>
  <si>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</si>
  <si>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</si>
  <si>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</si>
  <si>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</si>
  <si>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</si>
  <si>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</si>
  <si>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</si>
  <si>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</si>
  <si>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</si>
  <si>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</si>
  <si>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</si>
  <si>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</si>
  <si>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</si>
  <si>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</si>
  <si>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</si>
  <si>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</si>
  <si>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</si>
  <si>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</si>
  <si>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</si>
  <si>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</si>
  <si>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</si>
  <si>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</si>
  <si>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</si>
  <si>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</si>
  <si>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</si>
  <si>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</si>
  <si>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</si>
  <si>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</si>
  <si>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</si>
  <si>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</si>
  <si>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</si>
  <si>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</si>
  <si>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</si>
  <si>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</si>
  <si>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</si>
  <si>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</si>
  <si>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</si>
  <si>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</si>
  <si>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</si>
  <si>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</si>
  <si>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</si>
  <si>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</si>
  <si>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</si>
  <si>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</si>
  <si>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</si>
  <si>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</si>
  <si>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</si>
  <si>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</si>
  <si>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</si>
  <si>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</si>
  <si>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</si>
  <si>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</si>
  <si>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</si>
  <si>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</si>
  <si>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</si>
  <si>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</si>
  <si>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</si>
  <si>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</si>
  <si>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</si>
  <si>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</si>
  <si>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</si>
  <si>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</si>
  <si>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</si>
  <si>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</si>
  <si>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</si>
  <si>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</si>
  <si>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</si>
  <si>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</si>
  <si>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</si>
  <si>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</si>
  <si>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</si>
  <si>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</si>
  <si>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</si>
  <si>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</si>
  <si>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0.69%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</si>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</sst>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-0.0013976760326428472</v>
      </c>
    </row>
    <row r="7" spans="1:2" x14ac:dyDescent="0.25">
      <c r="A7" t="s">
        <v>4</v>
      </c>
      <c r="B7" s="5">
        <v>0.04928745091582075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0.009130823006264952</v>
      </c>
    </row>
    <row r="10" spans="1:3" x14ac:dyDescent="0.25">
      <c r="A10" t="s">
        <v>7</v>
      </c>
      <c r="B10" s="5">
        <v>0.01</v>
      </c>
      <c r="C10" s="6" t="s">
        <v>8</v>
      </c>
    </row>
    <row r="11" spans="1:2" x14ac:dyDescent="0.25">
      <c r="A11" t="s">
        <v>9</v>
      </c>
      <c r="B11" s="5">
        <v>-0.08558246556169663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9.087935688548354</v>
      </c>
    </row>
    <row r="14" spans="1:3" x14ac:dyDescent="0.25">
      <c r="A14" t="s">
        <v>12</v>
      </c>
      <c r="B14" s="5">
        <v>0.10310346217114522</v>
      </c>
      <c r="C14" s="6" t="s">
        <v>13</v>
      </c>
    </row>
    <row r="15" spans="1:3" x14ac:dyDescent="0.25">
      <c r="A15" t="s">
        <v>14</v>
      </c>
      <c r="B15" s="5">
        <v>0.009130823006264952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0.80637</v>
      </c>
      <c r="C19" s="6" t="s">
        <v>21</v>
      </c>
    </row>
    <row r="20" spans="1:2" x14ac:dyDescent="0.25">
      <c r="A20" t="s">
        <v>22</v>
      </c>
      <c r="B20" s="9">
        <f>B17+B19*B18</f>
        <v>0.083049451</v>
      </c>
    </row>
    <row r="21" spans="1:3" x14ac:dyDescent="0.25">
      <c r="A21" t="s">
        <v>23</v>
      </c>
      <c r="B21" s="5">
        <v>0.055940000000000004</v>
      </c>
      <c r="C21" s="6" t="s">
        <v>24</v>
      </c>
    </row>
    <row r="22" spans="1:2" x14ac:dyDescent="0.25">
      <c r="A22" t="s">
        <v>25</v>
      </c>
      <c r="B22" s="10">
        <v>91100282880</v>
      </c>
    </row>
    <row r="23" spans="1:2" x14ac:dyDescent="0.25">
      <c r="A23" t="s">
        <v>26</v>
      </c>
      <c r="B23" s="10">
        <v>32046000000</v>
      </c>
    </row>
    <row r="24" spans="1:2" x14ac:dyDescent="0.25">
      <c r="A24" t="s">
        <v>27</v>
      </c>
      <c r="B24" s="9">
        <f>B22/(B22+B23)</f>
        <v>0.7397729005655229</v>
      </c>
    </row>
    <row r="25" spans="1:2" x14ac:dyDescent="0.25">
      <c r="A25" t="s">
        <v>28</v>
      </c>
      <c r="B25" s="9">
        <f>1-B24</f>
        <v>0.2602270994344771</v>
      </c>
    </row>
    <row r="26" spans="1:2" x14ac:dyDescent="0.25">
      <c r="A26" t="s">
        <v>29</v>
      </c>
      <c r="B26" s="11">
        <f>B24*B20+B25*B21*(1-B8)</f>
        <v>0.07293784537111234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199125000000</v>
      </c>
      <c r="C29" s="6" t="s">
        <v>32</v>
      </c>
    </row>
    <row r="30" spans="1:2" x14ac:dyDescent="0.25">
      <c r="A30" t="s">
        <v>33</v>
      </c>
      <c r="B30" s="10">
        <v>-3329000000</v>
      </c>
    </row>
    <row r="31" spans="1:2" x14ac:dyDescent="0.25">
      <c r="A31" t="s">
        <v>34</v>
      </c>
      <c r="B31" s="12">
        <v>224600000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-0.0013976760326428472</v>
      </c>
      <c r="C5" s="5">
        <v>0.024646609984850132</v>
      </c>
      <c r="D5" s="5">
        <v>0.024690783736743865</v>
      </c>
      <c r="E5" s="5">
        <v>0.024734957488637598</v>
      </c>
      <c r="F5" s="5">
        <v>0.024779131240531334</v>
      </c>
      <c r="G5" s="5">
        <v>0.024823304992425067</v>
      </c>
      <c r="H5" s="5">
        <v>0.0248674787443188</v>
      </c>
      <c r="I5" s="5">
        <v>0.024911652496212536</v>
      </c>
      <c r="J5" s="5">
        <v>0.02495582624810627</v>
      </c>
      <c r="K5" s="5">
        <v>0.025</v>
      </c>
    </row>
    <row r="6" spans="1:11" x14ac:dyDescent="0.25">
      <c r="A6" t="s">
        <v>50</v>
      </c>
      <c r="B6" s="18">
        <f>Assumptions!B29*(1+B5)</f>
        <v>198846687760</v>
      </c>
      <c r="C6" s="18">
        <f>B6*(1+C5)</f>
        <v>203747584520</v>
      </c>
      <c r="D6" s="18">
        <f>C6*(1+D5)</f>
        <v>208778272066.26724</v>
      </c>
      <c r="E6" s="18">
        <f>D6*(1+E5)</f>
        <v>213942393750.37756</v>
      </c>
      <c r="F6" s="18">
        <f>E6*(1+F5)</f>
        <v>219243700403.03162</v>
      </c>
      <c r="G6" s="18">
        <f>F6*(1+G5)</f>
        <v>224686053645.80396</v>
      </c>
      <c r="H6" s="18">
        <f>G6*(1+H5)</f>
        <v>230273429308.98587</v>
      </c>
      <c r="I6" s="18">
        <f>H6*(1+I5)</f>
        <v>236009920959.04248</v>
      </c>
      <c r="J6" s="18">
        <f>I6*(1+J5)</f>
        <v>241899743539.32562</v>
      </c>
      <c r="K6" s="18">
        <f>J6*(1+K5)</f>
        <v>247947237127.80875</v>
      </c>
    </row>
    <row r="7" spans="1:11" x14ac:dyDescent="0.25">
      <c r="A7" t="s">
        <v>4</v>
      </c>
      <c r="B7" s="9">
        <f>Assumptions!B7</f>
        <v>0.04928745091582075</v>
      </c>
      <c r="C7" s="9">
        <f>Assumptions!B7</f>
        <v>0.04928745091582075</v>
      </c>
      <c r="D7" s="9">
        <f>Assumptions!B7</f>
        <v>0.04928745091582075</v>
      </c>
      <c r="E7" s="9">
        <f>Assumptions!B7</f>
        <v>0.04928745091582075</v>
      </c>
      <c r="F7" s="9">
        <f>Assumptions!B7</f>
        <v>0.04928745091582075</v>
      </c>
      <c r="G7" s="9">
        <f>Assumptions!B7</f>
        <v>0.04928745091582075</v>
      </c>
      <c r="H7" s="9">
        <f>Assumptions!B7</f>
        <v>0.04928745091582075</v>
      </c>
      <c r="I7" s="9">
        <f>Assumptions!B7</f>
        <v>0.04928745091582075</v>
      </c>
      <c r="J7" s="9">
        <f>Assumptions!B7</f>
        <v>0.04928745091582075</v>
      </c>
      <c r="K7" s="9">
        <f>Assumptions!B7</f>
        <v>0.04928745091582075</v>
      </c>
    </row>
    <row r="8" spans="1:11" x14ac:dyDescent="0.25">
      <c r="A8" t="s">
        <v>51</v>
      </c>
      <c r="B8" s="18">
        <f>B6*B7</f>
        <v>9800646362.744535</v>
      </c>
      <c r="C8" s="18">
        <f>C6*C7</f>
        <v>10042199071.24654</v>
      </c>
      <c r="D8" s="18">
        <f>D6*D7</f>
        <v>10290148836.756018</v>
      </c>
      <c r="E8" s="18">
        <f>E6*E7</f>
        <v>10544675230.78493</v>
      </c>
      <c r="F8" s="18">
        <f>F6*F7</f>
        <v>10805963122.21733</v>
      </c>
      <c r="G8" s="18">
        <f>G6*G7</f>
        <v>11074202840.53703</v>
      </c>
      <c r="H8" s="18">
        <f>H6*H7</f>
        <v>11349590344.28436</v>
      </c>
      <c r="I8" s="18">
        <f>I6*I7</f>
        <v>11632327394.91554</v>
      </c>
      <c r="J8" s="18">
        <f>J6*J7</f>
        <v>11922621736.244139</v>
      </c>
      <c r="K8" s="18">
        <f>K6*K7</f>
        <v>12220687279.650242</v>
      </c>
    </row>
    <row r="9" spans="1:11" x14ac:dyDescent="0.25">
      <c r="A9" t="s">
        <v>52</v>
      </c>
      <c r="B9" s="18">
        <f>B8*(1-Assumptions!B8)</f>
        <v>7742510626.568183</v>
      </c>
      <c r="C9" s="18">
        <f>C8*(1-Assumptions!B8)</f>
        <v>7933337266.284767</v>
      </c>
      <c r="D9" s="18">
        <f>D8*(1-Assumptions!B8)</f>
        <v>8129217581.037254</v>
      </c>
      <c r="E9" s="18">
        <f>E8*(1-Assumptions!B8)</f>
        <v>8330293432.320094</v>
      </c>
      <c r="F9" s="18">
        <f>F8*(1-Assumptions!B8)</f>
        <v>8536710866.551692</v>
      </c>
      <c r="G9" s="18">
        <f>G8*(1-Assumptions!B8)</f>
        <v>8748620244.024254</v>
      </c>
      <c r="H9" s="18">
        <f>H8*(1-Assumptions!B8)</f>
        <v>8966176371.984646</v>
      </c>
      <c r="I9" s="18">
        <f>I8*(1-Assumptions!B8)</f>
        <v>9189538641.983278</v>
      </c>
      <c r="J9" s="18">
        <f>J8*(1-Assumptions!B8)</f>
        <v>9418871171.63287</v>
      </c>
      <c r="K9" s="18">
        <f>K8*(1-Assumptions!B8)</f>
        <v>9654342950.92369</v>
      </c>
    </row>
    <row r="10" spans="1:11" x14ac:dyDescent="0.25">
      <c r="A10" t="s">
        <v>53</v>
      </c>
      <c r="B10" s="18">
        <f>B6*Assumptions!B9</f>
        <v>1815633911.3185914</v>
      </c>
      <c r="C10" s="18">
        <f>C6*Assumptions!B9</f>
        <v>1860383132.2061288</v>
      </c>
      <c r="D10" s="18">
        <f>D6*Assumptions!B9</f>
        <v>1906317449.7909162</v>
      </c>
      <c r="E10" s="18">
        <f>E6*Assumptions!B9</f>
        <v>1953470130.8713424</v>
      </c>
      <c r="F10" s="18">
        <f>F6*Assumptions!B9</f>
        <v>2001875423.6186616</v>
      </c>
      <c r="G10" s="18">
        <f>G6*Assumptions!B9</f>
        <v>2051568587.8159878</v>
      </c>
      <c r="H10" s="18">
        <f>H6*Assumptions!B9</f>
        <v>2102585926.0660143</v>
      </c>
      <c r="I10" s="18">
        <f>I6*Assumptions!B9</f>
        <v>2154964815.999598</v>
      </c>
      <c r="J10" s="18">
        <f>J6*Assumptions!B9</f>
        <v>2208743743.518466</v>
      </c>
      <c r="K10" s="18">
        <f>K6*Assumptions!B9</f>
        <v>2263962337.1064277</v>
      </c>
    </row>
    <row r="11" spans="1:11" x14ac:dyDescent="0.25">
      <c r="A11" t="s">
        <v>54</v>
      </c>
      <c r="B11" s="18">
        <f>-B6*B19</f>
        <v>-1988466877.6000001</v>
      </c>
      <c r="C11" s="18">
        <f>-C6*C19</f>
        <v>-2231536102.764126</v>
      </c>
      <c r="D11" s="18">
        <f>-D6*D19</f>
        <v>-2485486235.49375</v>
      </c>
      <c r="E11" s="18">
        <f>-E6*E19</f>
        <v>-2750734979.049034</v>
      </c>
      <c r="F11" s="18">
        <f>-F6*F19</f>
        <v>-3027715401.460309</v>
      </c>
      <c r="G11" s="18">
        <f>-G6*G19</f>
        <v>-3316876496.2617664</v>
      </c>
      <c r="H11" s="18">
        <f>-H6*H19</f>
        <v>-3618683763.818133</v>
      </c>
      <c r="I11" s="18">
        <f>-I6*I19</f>
        <v>-3933619814.010328</v>
      </c>
      <c r="J11" s="18">
        <f>-J6*J19</f>
        <v>-4262184991.075109</v>
      </c>
      <c r="K11" s="18">
        <f>-K6*K19</f>
        <v>-4604898021.423724</v>
      </c>
    </row>
    <row r="12" spans="1:11" x14ac:dyDescent="0.25">
      <c r="A12" t="s">
        <v>55</v>
      </c>
      <c r="B12" s="18">
        <f>-(B6-Assumptions!B29)*Assumptions!B11</f>
        <v>-23818647.695198648</v>
      </c>
      <c r="C12" s="18">
        <f>-(C6-B6)*Assumptions!B11</f>
        <v>419430828.1841306</v>
      </c>
      <c r="D12" s="18">
        <f>-(D6-C6)*Assumptions!B11</f>
        <v>430538643.6800724</v>
      </c>
      <c r="E12" s="18">
        <f>-(E6-D6)*Assumptions!B11</f>
        <v>441958266.18678236</v>
      </c>
      <c r="F12" s="18">
        <f>-(F6-E6)*Assumptions!B11</f>
        <v>453698894.0327587</v>
      </c>
      <c r="G12" s="18">
        <f>-(G6-F6)*Assumptions!B11</f>
        <v>465770008.9741517</v>
      </c>
      <c r="H12" s="18">
        <f>-(H6-G6)*Assumptions!B11</f>
        <v>478181385.27452815</v>
      </c>
      <c r="I12" s="18">
        <f>-(I6-H6)*Assumptions!B11</f>
        <v>490943099.0859301</v>
      </c>
      <c r="J12" s="18">
        <f>-(J6-I6)*Assumptions!B11</f>
        <v>504065538.1415852</v>
      </c>
      <c r="K12" s="18">
        <f>-(K6-J6)*Assumptions!B11</f>
        <v>517559411.7709381</v>
      </c>
    </row>
    <row r="13" spans="1:11" x14ac:dyDescent="0.25">
      <c r="A13" s="19" t="s">
        <v>56</v>
      </c>
      <c r="B13" s="20">
        <f>B9+B10+B11+B12</f>
        <v>7545859012.591575</v>
      </c>
      <c r="C13" s="20">
        <f>C9+C10+C11+C12</f>
        <v>7981615123.910901</v>
      </c>
      <c r="D13" s="20">
        <f>D9+D10+D11+D12</f>
        <v>7980587439.014494</v>
      </c>
      <c r="E13" s="20">
        <f>E9+E10+E11+E12</f>
        <v>7974986850.3291855</v>
      </c>
      <c r="F13" s="20">
        <f>F9+F10+F11+F12</f>
        <v>7964569782.742803</v>
      </c>
      <c r="G13" s="20">
        <f>G9+G10+G11+G12</f>
        <v>7949082344.552628</v>
      </c>
      <c r="H13" s="20">
        <f>H9+H10+H11+H12</f>
        <v>7928259919.507055</v>
      </c>
      <c r="I13" s="20">
        <f>I9+I10+I11+I12</f>
        <v>7901826743.058477</v>
      </c>
      <c r="J13" s="20">
        <f>J9+J10+J11+J12</f>
        <v>7869495462.217813</v>
      </c>
      <c r="K13" s="20">
        <f>K9+K10+K11+K12</f>
        <v>7830966678.377333</v>
      </c>
    </row>
    <row r="14" spans="1:11" x14ac:dyDescent="0.25">
      <c r="A14" t="s">
        <v>57</v>
      </c>
      <c r="B14" s="21">
        <f>1/(1+Assumptions!$B$26)^(1-0.5*Assumptions!$B$32)</f>
        <v>0.9654120557826682</v>
      </c>
      <c r="C14" s="21">
        <f>1/(1+Assumptions!$B$26)^(2-0.5*Assumptions!$B$32)</f>
        <v>0.8997837665505661</v>
      </c>
      <c r="D14" s="21">
        <f>1/(1+Assumptions!$B$26)^(3-0.5*Assumptions!$B$32)</f>
        <v>0.8386168597113332</v>
      </c>
      <c r="E14" s="21">
        <f>1/(1+Assumptions!$B$26)^(4-0.5*Assumptions!$B$32)</f>
        <v>0.7816080524415362</v>
      </c>
      <c r="F14" s="21">
        <f>1/(1+Assumptions!$B$26)^(5-0.5*Assumptions!$B$32)</f>
        <v>0.7284746789514077</v>
      </c>
      <c r="G14" s="21">
        <f>1/(1+Assumptions!$B$26)^(6-0.5*Assumptions!$B$32)</f>
        <v>0.6789532889479165</v>
      </c>
      <c r="H14" s="21">
        <f>1/(1+Assumptions!$B$26)^(7-0.5*Assumptions!$B$32)</f>
        <v>0.6327983413737049</v>
      </c>
      <c r="I14" s="21">
        <f>1/(1+Assumptions!$B$26)^(8-0.5*Assumptions!$B$32)</f>
        <v>0.5897809869450825</v>
      </c>
      <c r="J14" s="21">
        <f>1/(1+Assumptions!$B$26)^(9-0.5*Assumptions!$B$32)</f>
        <v>0.549687933452554</v>
      </c>
      <c r="K14" s="21">
        <f>1/(1+Assumptions!$B$26)^(10-0.5*Assumptions!$B$32)</f>
        <v>0.5123203881977203</v>
      </c>
    </row>
    <row r="15" spans="1:11" x14ac:dyDescent="0.25">
      <c r="A15" s="19" t="s">
        <v>58</v>
      </c>
      <c r="B15" s="20">
        <f>B13*B14</f>
        <v>7284863261.992207</v>
      </c>
      <c r="C15" s="20">
        <f>C13*C14</f>
        <v>7181727719.349514</v>
      </c>
      <c r="D15" s="20">
        <f>D13*D14</f>
        <v>6692655176.758045</v>
      </c>
      <c r="E15" s="20">
        <f>E13*E14</f>
        <v>6233313940.332656</v>
      </c>
      <c r="F15" s="20">
        <f>F13*F14</f>
        <v>5801987415.469646</v>
      </c>
      <c r="G15" s="20">
        <f>G13*G14</f>
        <v>5397055601.951821</v>
      </c>
      <c r="H15" s="20">
        <f>H13*H14</f>
        <v>5016989727.043688</v>
      </c>
      <c r="I15" s="20">
        <f>I13*I14</f>
        <v>4660347175.190076</v>
      </c>
      <c r="J15" s="20">
        <f>J13*J14</f>
        <v>4325766697.940761</v>
      </c>
      <c r="K15" s="20">
        <f>K13*K14</f>
        <v>4011963888.6296873</v>
      </c>
    </row>
    <row r="17" spans="1:2" x14ac:dyDescent="0.25">
      <c r="A17" s="22" t="s">
        <v>59</v>
      </c>
      <c r="B17" s="23">
        <f>SUM(B15:K15)</f>
        <v>56606670604.6581</v>
      </c>
    </row>
    <row r="19" spans="1:11" x14ac:dyDescent="0.25">
      <c r="A19" t="s">
        <v>7</v>
      </c>
      <c r="B19" s="9">
        <f>Assumptions!$B$10+($B$20-Assumptions!$B$10)*0/9</f>
        <v>0.01</v>
      </c>
      <c r="C19" s="9">
        <f>Assumptions!$B$10+($B$20-Assumptions!$B$10)*1/9</f>
        <v>0.010952454273366254</v>
      </c>
      <c r="D19" s="9">
        <f>Assumptions!$B$10+($B$20-Assumptions!$B$10)*2/9</f>
        <v>0.011904908546732509</v>
      </c>
      <c r="E19" s="9">
        <f>Assumptions!$B$10+($B$20-Assumptions!$B$10)*3/9</f>
        <v>0.012857362820098762</v>
      </c>
      <c r="F19" s="9">
        <f>Assumptions!$B$10+($B$20-Assumptions!$B$10)*4/9</f>
        <v>0.013809817093465017</v>
      </c>
      <c r="G19" s="9">
        <f>Assumptions!$B$10+($B$20-Assumptions!$B$10)*5/9</f>
        <v>0.01476227136683127</v>
      </c>
      <c r="H19" s="9">
        <f>Assumptions!$B$10+($B$20-Assumptions!$B$10)*6/9</f>
        <v>0.015714725640197526</v>
      </c>
      <c r="I19" s="9">
        <f>Assumptions!$B$10+($B$20-Assumptions!$B$10)*7/9</f>
        <v>0.016667179913563777</v>
      </c>
      <c r="J19" s="9">
        <f>Assumptions!$B$10+($B$20-Assumptions!$B$10)*8/9</f>
        <v>0.017619634186930033</v>
      </c>
      <c r="K19" s="9">
        <f>Assumptions!$B$10+($B$20-Assumptions!$B$10)*9/9</f>
        <v>0.018572088460296288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0.018572088460296288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7830966678.377333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9654342950.92369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0.2424748837095459</v>
      </c>
    </row>
    <row r="7" spans="1:2" x14ac:dyDescent="0.25">
      <c r="A7" t="s">
        <v>66</v>
      </c>
      <c r="B7" s="18">
        <f>-MAX(B5,0)*B6</f>
        <v>-2340935684.317296</v>
      </c>
    </row>
    <row r="8" spans="1:2" x14ac:dyDescent="0.25">
      <c r="A8" t="s">
        <v>67</v>
      </c>
      <c r="B8" s="18">
        <f>IF(OR(Assumptions!$B$33=0,Assumptions!B12&lt;=0),B5,MAX(B5+B7,0))</f>
        <v>7313407266.606395</v>
      </c>
    </row>
    <row r="9" spans="1:2" x14ac:dyDescent="0.25">
      <c r="A9" t="s">
        <v>68</v>
      </c>
      <c r="B9" s="18">
        <f>B8*(1+Assumptions!B12)/(Assumptions!B26-Assumptions!B12)</f>
        <v>156374204769.51263</v>
      </c>
    </row>
    <row r="10" spans="1:2" x14ac:dyDescent="0.25">
      <c r="A10" t="s">
        <v>69</v>
      </c>
      <c r="B10" s="18">
        <f>B9/(1+Assumptions!B26)^(10-0.5*Assumptions!B32)</f>
        <v>80113693291.62651</v>
      </c>
    </row>
    <row r="11" spans="1:2" x14ac:dyDescent="0.25">
      <c r="A11" t="s">
        <v>70</v>
      </c>
      <c r="B11" s="18">
        <f>Forecast!B17+B10</f>
        <v>136720363896.2846</v>
      </c>
    </row>
    <row r="12" spans="1:2" x14ac:dyDescent="0.25">
      <c r="A12" t="s">
        <v>71</v>
      </c>
      <c r="B12" s="18">
        <f>-Assumptions!B30</f>
        <v>3329000000</v>
      </c>
    </row>
    <row r="13" spans="1:2" x14ac:dyDescent="0.25">
      <c r="A13" t="s">
        <v>72</v>
      </c>
      <c r="B13" s="18">
        <f>B11+B12</f>
        <v>140049363896.2846</v>
      </c>
    </row>
    <row r="14" spans="1:2" x14ac:dyDescent="0.25">
      <c r="A14" s="19" t="s">
        <v>73</v>
      </c>
      <c r="B14" s="24">
        <f>B13/Assumptions!B31</f>
        <v>623.5501509184533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14484649616.75667</v>
      </c>
    </row>
    <row r="18" spans="1:2" x14ac:dyDescent="0.25">
      <c r="A18" t="s">
        <v>68</v>
      </c>
      <c r="B18" s="18">
        <f>B17*Assumptions!B13</f>
        <v>131635564188.24118</v>
      </c>
    </row>
    <row r="19" spans="1:2" x14ac:dyDescent="0.25">
      <c r="A19" t="s">
        <v>69</v>
      </c>
      <c r="B19" s="18">
        <f>B18/(1+Assumptions!B26)^(10-0.5*Assumptions!B32)</f>
        <v>67439583345.54565</v>
      </c>
    </row>
    <row r="20" spans="1:2" x14ac:dyDescent="0.25">
      <c r="A20" t="s">
        <v>70</v>
      </c>
      <c r="B20" s="18">
        <f>Forecast!B17+B19</f>
        <v>124046253950.20374</v>
      </c>
    </row>
    <row r="21" spans="1:2" x14ac:dyDescent="0.25">
      <c r="A21" t="s">
        <v>71</v>
      </c>
      <c r="B21" s="18">
        <f>-Assumptions!B30</f>
        <v>3329000000</v>
      </c>
    </row>
    <row r="22" spans="1:2" x14ac:dyDescent="0.25">
      <c r="A22" t="s">
        <v>72</v>
      </c>
      <c r="B22" s="18">
        <f>B20+B21</f>
        <v>127375253950.20374</v>
      </c>
    </row>
    <row r="23" spans="1:2" x14ac:dyDescent="0.25">
      <c r="A23" s="19" t="s">
        <v>73</v>
      </c>
      <c r="B23" s="25">
        <f>B22/Assumptions!B31</f>
        <v>567.1204539189837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420.07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623.5501509184533</v>
      </c>
    </row>
    <row r="29" spans="1:2" x14ac:dyDescent="0.25">
      <c r="A29" s="19" t="s">
        <v>81</v>
      </c>
      <c r="B29" s="11">
        <f>B28/B26-1</f>
        <v>0.4843958171696461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0.052938</v>
      </c>
      <c r="B5" s="31">
        <v>904.9401037001281</v>
      </c>
      <c r="C5" s="31">
        <v>953.3220289120151</v>
      </c>
      <c r="D5" s="31">
        <v>1021.0246950802796</v>
      </c>
      <c r="E5" s="31">
        <v>1120.6826437667703</v>
      </c>
      <c r="F5" s="31">
        <v>1279.0173175946</v>
      </c>
    </row>
    <row r="6" spans="1:6" x14ac:dyDescent="0.25">
      <c r="A6" s="30">
        <v>0.062938</v>
      </c>
      <c r="B6" s="31">
        <v>726.0520010253048</v>
      </c>
      <c r="C6" s="31">
        <v>744.9778400171961</v>
      </c>
      <c r="D6" s="31">
        <v>770.2855630077157</v>
      </c>
      <c r="E6" s="31">
        <v>804.8814867124943</v>
      </c>
      <c r="F6" s="31">
        <v>853.7524752847951</v>
      </c>
    </row>
    <row r="7" spans="1:6" x14ac:dyDescent="0.25">
      <c r="A7" s="30">
        <v>0.072938</v>
      </c>
      <c r="B7" s="31">
        <v>608.6521846568681</v>
      </c>
      <c r="C7" s="31">
        <v>614.9248440340604</v>
      </c>
      <c r="D7" s="32">
        <v>623.5483508218254</v>
      </c>
      <c r="E7" s="31">
        <v>635.3439521941955</v>
      </c>
      <c r="F7" s="31">
        <v>651.5658370585744</v>
      </c>
    </row>
    <row r="8" spans="1:6" x14ac:dyDescent="0.25">
      <c r="A8" s="30">
        <v>0.082938</v>
      </c>
      <c r="B8" s="31">
        <v>525.6096677227675</v>
      </c>
      <c r="C8" s="31">
        <v>525.8759816273766</v>
      </c>
      <c r="D8" s="31">
        <v>527.0042774741108</v>
      </c>
      <c r="E8" s="31">
        <v>529.2387981344782</v>
      </c>
      <c r="F8" s="31">
        <v>532.9256859632804</v>
      </c>
    </row>
    <row r="9" spans="1:6" x14ac:dyDescent="0.25">
      <c r="A9" s="30">
        <v>0.092938</v>
      </c>
      <c r="B9" s="31">
        <v>463.7159224055228</v>
      </c>
      <c r="C9" s="31">
        <v>460.9901061443202</v>
      </c>
      <c r="D9" s="31">
        <v>458.52207569892005</v>
      </c>
      <c r="E9" s="31">
        <v>456.37326910734487</v>
      </c>
      <c r="F9" s="31">
        <v>454.6263326088049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199125000000</v>
      </c>
      <c r="C5" s="18">
        <v>176810000000</v>
      </c>
      <c r="D5" s="18">
        <v>171340000000</v>
      </c>
      <c r="E5" s="18">
        <v>156595000000</v>
      </c>
      <c r="F5" s="6" t="s">
        <v>91</v>
      </c>
    </row>
    <row r="6" spans="1:6" x14ac:dyDescent="0.25">
      <c r="A6" t="s">
        <v>51</v>
      </c>
      <c r="B6" s="18">
        <v>8112000000</v>
      </c>
      <c r="C6" s="18">
        <v>9089000000</v>
      </c>
      <c r="D6" s="18">
        <v>8745000000</v>
      </c>
      <c r="E6" s="18">
        <v>8451000000</v>
      </c>
      <c r="F6" s="6" t="s">
        <v>92</v>
      </c>
    </row>
    <row r="7" spans="1:6" x14ac:dyDescent="0.25">
      <c r="A7" t="s">
        <v>93</v>
      </c>
      <c r="B7" s="18">
        <v>1546000000</v>
      </c>
      <c r="C7" s="18">
        <v>1393000000</v>
      </c>
      <c r="D7" s="18">
        <v>1745000000</v>
      </c>
      <c r="E7" s="18">
        <v>1675000000</v>
      </c>
      <c r="F7" s="6" t="s">
        <v>94</v>
      </c>
    </row>
    <row r="8" spans="1:6" x14ac:dyDescent="0.25">
      <c r="A8" t="s">
        <v>95</v>
      </c>
      <c r="B8" s="18">
        <v>1116000000</v>
      </c>
      <c r="C8" s="18">
        <v>1256000000</v>
      </c>
      <c r="D8" s="18">
        <v>1296000000</v>
      </c>
      <c r="E8" s="18">
        <v>1152000000</v>
      </c>
      <c r="F8" s="6" t="s">
        <v>96</v>
      </c>
    </row>
    <row r="9" spans="1:6" x14ac:dyDescent="0.25">
      <c r="A9" t="s">
        <v>97</v>
      </c>
      <c r="B9" s="18">
        <v>3277000000</v>
      </c>
      <c r="C9" s="18">
        <v>1719000000</v>
      </c>
      <c r="D9" s="18">
        <v>535000000</v>
      </c>
      <c r="E9" s="18">
        <v>-423000000</v>
      </c>
      <c r="F9" s="6" t="s">
        <v>98</v>
      </c>
    </row>
    <row r="10" spans="1:6" x14ac:dyDescent="0.25">
      <c r="A10" t="s">
        <v>99</v>
      </c>
      <c r="B10" s="18">
        <v>32046000000</v>
      </c>
      <c r="C10" s="18">
        <v>31232000000</v>
      </c>
      <c r="D10" s="18">
        <v>25120000000</v>
      </c>
      <c r="E10" s="18">
        <v>24114000000</v>
      </c>
      <c r="F10" s="6" t="s">
        <v>100</v>
      </c>
    </row>
    <row r="11" spans="1:6" x14ac:dyDescent="0.25">
      <c r="A11" t="s">
        <v>101</v>
      </c>
      <c r="B11" s="18">
        <v>35375000000</v>
      </c>
      <c r="C11" s="18">
        <v>33489000000</v>
      </c>
      <c r="D11" s="18">
        <v>36140000000</v>
      </c>
      <c r="E11" s="18">
        <v>33339000000</v>
      </c>
      <c r="F11" s="6" t="s">
        <v>102</v>
      </c>
    </row>
    <row r="12" spans="1:6" x14ac:dyDescent="0.25">
      <c r="A12" t="s">
        <v>34</v>
      </c>
      <c r="B12" s="34">
        <v>224600000</v>
      </c>
      <c r="C12" s="34">
        <v>232900000</v>
      </c>
      <c r="D12" s="34">
        <v>237400000</v>
      </c>
      <c r="E12" s="34">
        <v>242800000</v>
      </c>
      <c r="F12" s="6" t="s">
        <v>103</v>
      </c>
    </row>
    <row r="15" spans="1:1" x14ac:dyDescent="0.25">
      <c r="A15" s="19" t="s">
        <v>104</v>
      </c>
    </row>
    <row r="16" ht="86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