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<sst xmlns="http://schemas.openxmlformats.org/spreadsheetml/2006/main" count="114" uniqueCount="102">
  <si>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Emera Incorporated (EMA.TO)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</si>
  <si>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</si>
  <si>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</si>
  <si>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</si>
  <si>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</si>
  <si>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</si>
  <si>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</si>
  <si>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</si>
  <si>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</si>
  <si>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</si>
  <si>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</si>
  <si>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</si>
  <si>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</si>
  <si>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</si>
  <si>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</si>
  <si>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</si>
  <si>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</si>
  <si>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</si>
  <si>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</si>
  <si>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</si>
  <si>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</si>
  <si>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</si>
  <si>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</si>
  <si>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</si>
  <si>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</si>
  <si>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</si>
  <si>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</si>
  <si>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</si>
  <si>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</si>
  <si>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</si>
  <si>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</si>
  <si>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</si>
  <si>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</si>
  <si>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</si>
  <si>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</si>
  <si>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</si>
  <si>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</si>
  <si>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</si>
  <si>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</si>
  <si>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</si>
  <si>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</si>
  <si>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</si>
  <si>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</si>
  <si>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</si>
  <si>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</si>
  <si>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</si>
  <si>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</si>
  <si>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</si>
  <si>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</si>
  <si>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</si>
  <si>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</si>
  <si>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</si>
  <si>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</si>
  <si>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</si>
  <si>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</si>
  <si>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</si>
  <si>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</si>
  <si>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</si>
  <si>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</si>
  <si>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</si>
  <si>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</si>
  <si>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</si>
  <si>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</si>
  <si>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</si>
  <si>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</si>
  <si>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</si>
  <si>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</si>
  <si>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</si>
  <si>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</si>
  <si>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</si>
  <si>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</si>
  <si>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</si>
  <si>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</si>
  <si>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</si>
  <si>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</si>
  <si>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</si>
  <si>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</si>
  <si>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</si>
  <si>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</si>
  <si>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</si>
  <si>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</si>
  <si>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</si>
  <si>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</si>
  <si>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</si>
  <si>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</si>
  <si>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</si>
  <si>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</si>
  <si>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</si>
  <si>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</si>
  <si>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</si>
  <si>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</si>
  <si>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</si>
  <si>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</si>
  <si>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</si>
  <si>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</si>
  <si>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</si>
  <si>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</si>
  <si>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</si>
  <si>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</si>
  <si>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39.3% of revenue against depreciation of 14.4%.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</si>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</sst>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0.049678811571937986</v>
      </c>
    </row>
    <row r="7" spans="1:2" x14ac:dyDescent="0.25">
      <c r="A7" t="s">
        <v>5</v>
      </c>
      <c r="B7" s="6">
        <v>0.21908764989477605</v>
      </c>
    </row>
    <row r="8" spans="1:2" x14ac:dyDescent="0.25">
      <c r="A8" t="s">
        <v>6</v>
      </c>
      <c r="B8" s="6">
        <v>0.10912190963341858</v>
      </c>
    </row>
    <row r="9" spans="1:2" x14ac:dyDescent="0.25">
      <c r="A9" t="s">
        <v>7</v>
      </c>
      <c r="B9" s="6">
        <v>0.14406217874262414</v>
      </c>
    </row>
    <row r="10" spans="1:2" x14ac:dyDescent="0.25">
      <c r="A10" t="s">
        <v>8</v>
      </c>
      <c r="B10" s="6">
        <v>0.3926393108671985</v>
      </c>
    </row>
    <row r="11" spans="1:2" x14ac:dyDescent="0.25">
      <c r="A11" t="s">
        <v>9</v>
      </c>
      <c r="B11" s="6">
        <v>0.4803299492385787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12.63875899641577</v>
      </c>
    </row>
    <row r="14" spans="1:3" x14ac:dyDescent="0.25">
      <c r="A14" t="s">
        <v>12</v>
      </c>
      <c r="B14" s="6">
        <v>0.05544078671503962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0.61944</v>
      </c>
      <c r="C19" s="8" t="s">
        <v>19</v>
      </c>
    </row>
    <row r="20" spans="1:2" x14ac:dyDescent="0.25">
      <c r="A20" t="s">
        <v>20</v>
      </c>
      <c r="B20" s="10">
        <f>B17+B19*B18</f>
        <v>0.0670692</v>
      </c>
    </row>
    <row r="21" spans="1:3" x14ac:dyDescent="0.25">
      <c r="A21" t="s">
        <v>21</v>
      </c>
      <c r="B21" s="6">
        <v>0.049336047300571874</v>
      </c>
      <c r="C21" s="8" t="s">
        <v>22</v>
      </c>
    </row>
    <row r="22" spans="1:2" x14ac:dyDescent="0.25">
      <c r="A22" t="s">
        <v>23</v>
      </c>
      <c r="B22" s="11">
        <v>21202565120</v>
      </c>
    </row>
    <row r="23" spans="1:2" x14ac:dyDescent="0.25">
      <c r="A23" t="s">
        <v>24</v>
      </c>
      <c r="B23" s="11">
        <v>21461000000</v>
      </c>
    </row>
    <row r="24" spans="1:2" x14ac:dyDescent="0.25">
      <c r="A24" t="s">
        <v>25</v>
      </c>
      <c r="B24" s="10">
        <f>B22/(B22+B23)</f>
        <v>0.49697124608230586</v>
      </c>
    </row>
    <row r="25" spans="1:2" x14ac:dyDescent="0.25">
      <c r="A25" t="s">
        <v>26</v>
      </c>
      <c r="B25" s="10">
        <f>1-B24</f>
        <v>0.5030287539176941</v>
      </c>
    </row>
    <row r="26" spans="1:2" x14ac:dyDescent="0.25">
      <c r="A26" t="s">
        <v>27</v>
      </c>
      <c r="B26" s="12">
        <f>B24*B20+B25*B21*(1-B8)</f>
        <v>0.05544078671503962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8776000000</v>
      </c>
      <c r="C29" s="8" t="s">
        <v>30</v>
      </c>
    </row>
    <row r="30" spans="1:2" x14ac:dyDescent="0.25">
      <c r="A30" t="s">
        <v>31</v>
      </c>
      <c r="B30" s="11">
        <v>21112000000</v>
      </c>
    </row>
    <row r="31" spans="1:2" x14ac:dyDescent="0.25">
      <c r="A31" t="s">
        <v>32</v>
      </c>
      <c r="B31" s="13">
        <v>299700000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0.049678811571937986</v>
      </c>
      <c r="C5" s="10">
        <f>Assumptions!B6</f>
        <v>0.049678811571937986</v>
      </c>
      <c r="D5" s="10">
        <f>Assumptions!B6</f>
        <v>0.049678811571937986</v>
      </c>
      <c r="E5" s="10">
        <f>Assumptions!B6</f>
        <v>0.049678811571937986</v>
      </c>
      <c r="F5" s="10">
        <f>Assumptions!B6</f>
        <v>0.049678811571937986</v>
      </c>
    </row>
    <row r="6" spans="1:6" x14ac:dyDescent="0.25">
      <c r="A6" t="s">
        <v>43</v>
      </c>
      <c r="B6" s="18">
        <f>Assumptions!B29*(1+B5)</f>
        <v>9211981250.355328</v>
      </c>
      <c r="C6" s="18">
        <f>B6*(1+C5)</f>
        <v>9669621531.095955</v>
      </c>
      <c r="D6" s="18">
        <f>C6*(1+D5)</f>
        <v>10149996837.111225</v>
      </c>
      <c r="E6" s="18">
        <f>D6*(1+E5)</f>
        <v>10654236617.43784</v>
      </c>
      <c r="F6" s="18">
        <f>E6*(1+F5)</f>
        <v>11183526430.798376</v>
      </c>
    </row>
    <row r="7" spans="1:6" x14ac:dyDescent="0.25">
      <c r="A7" t="s">
        <v>5</v>
      </c>
      <c r="B7" s="10">
        <f>Assumptions!B7</f>
        <v>0.21908764989477605</v>
      </c>
      <c r="C7" s="10">
        <f>Assumptions!B7</f>
        <v>0.21908764989477605</v>
      </c>
      <c r="D7" s="10">
        <f>Assumptions!B7</f>
        <v>0.21908764989477605</v>
      </c>
      <c r="E7" s="10">
        <f>Assumptions!B7</f>
        <v>0.21908764989477605</v>
      </c>
      <c r="F7" s="10">
        <f>Assumptions!B7</f>
        <v>0.21908764989477605</v>
      </c>
    </row>
    <row r="8" spans="1:6" x14ac:dyDescent="0.25">
      <c r="A8" t="s">
        <v>44</v>
      </c>
      <c r="B8" s="18">
        <f>B6*B7</f>
        <v>2018231323.0150893</v>
      </c>
      <c r="C8" s="18">
        <f>C6*C7</f>
        <v>2118494656.619739</v>
      </c>
      <c r="D8" s="18">
        <f>D6*D7</f>
        <v>2223738953.4821086</v>
      </c>
      <c r="E8" s="18">
        <f>E6*E7</f>
        <v>2334211661.9373245</v>
      </c>
      <c r="F8" s="18">
        <f>F6*F7</f>
        <v>2450172523.259729</v>
      </c>
    </row>
    <row r="9" spans="1:6" x14ac:dyDescent="0.25">
      <c r="A9" t="s">
        <v>45</v>
      </c>
      <c r="B9" s="18">
        <f>B8*(1-Assumptions!B8)</f>
        <v>1797998066.9657018</v>
      </c>
      <c r="C9" s="18">
        <f>C8*(1-Assumptions!B8)</f>
        <v>1887320474.1411996</v>
      </c>
      <c r="D9" s="18">
        <f>D8*(1-Assumptions!B8)</f>
        <v>1981080312.351921</v>
      </c>
      <c r="E9" s="18">
        <f>E8*(1-Assumptions!B8)</f>
        <v>2079498027.898128</v>
      </c>
      <c r="F9" s="18">
        <f>F8*(1-Assumptions!B8)</f>
        <v>2182805018.5902953</v>
      </c>
    </row>
    <row r="10" spans="1:6" x14ac:dyDescent="0.25">
      <c r="A10" t="s">
        <v>46</v>
      </c>
      <c r="B10" s="18">
        <f>B6*Assumptions!B9</f>
        <v>1327098089.4623914</v>
      </c>
      <c r="C10" s="18">
        <f>C6*Assumptions!B9</f>
        <v>1393026745.3862724</v>
      </c>
      <c r="D10" s="18">
        <f>D6*Assumptions!B9</f>
        <v>1462230658.584987</v>
      </c>
      <c r="E10" s="18">
        <f>E6*Assumptions!B9</f>
        <v>1534872539.9475412</v>
      </c>
      <c r="F10" s="18">
        <f>F6*Assumptions!B9</f>
        <v>1611123183.646537</v>
      </c>
    </row>
    <row r="11" spans="1:6" x14ac:dyDescent="0.25">
      <c r="A11" t="s">
        <v>47</v>
      </c>
      <c r="B11" s="18">
        <f>-B6*Assumptions!B10</f>
        <v>-3616985969.861069</v>
      </c>
      <c r="C11" s="18">
        <f>-C6*Assumptions!B10</f>
        <v>-3796673534.3161407</v>
      </c>
      <c r="D11" s="18">
        <f>-D6*Assumptions!B10</f>
        <v>-3985287763.4275956</v>
      </c>
      <c r="E11" s="18">
        <f>-E6*Assumptions!B10</f>
        <v>-4183272123.286865</v>
      </c>
      <c r="F11" s="18">
        <f>-F6*Assumptions!B10</f>
        <v>-4391092110.853774</v>
      </c>
    </row>
    <row r="12" spans="1:6" x14ac:dyDescent="0.25">
      <c r="A12" t="s">
        <v>48</v>
      </c>
      <c r="B12" s="18">
        <f>-(B6-Assumptions!B29)*Assumptions!B11</f>
        <v>-209414851.85214657</v>
      </c>
      <c r="C12" s="18">
        <f>-(C6-B6)*Assumptions!B11</f>
        <v>-219818332.8176744</v>
      </c>
      <c r="D12" s="18">
        <f>-(D6-C6)*Assumptions!B11</f>
        <v>-230738646.35378146</v>
      </c>
      <c r="E12" s="18">
        <f>-(E6-D6)*Assumptions!B11</f>
        <v>-242201468.08835477</v>
      </c>
      <c r="F12" s="18">
        <f>-(F6-E6)*Assumptions!B11</f>
        <v>-254233749.18396333</v>
      </c>
    </row>
    <row r="13" spans="1:6" x14ac:dyDescent="0.25">
      <c r="A13" s="19" t="s">
        <v>49</v>
      </c>
      <c r="B13" s="20">
        <f>B9+B10+B11+B12</f>
        <v>-701304665.2851229</v>
      </c>
      <c r="C13" s="20">
        <f>C9+C10+C11+C12</f>
        <v>-736144647.606343</v>
      </c>
      <c r="D13" s="20">
        <f>D9+D10+D11+D12</f>
        <v>-772715438.8444693</v>
      </c>
      <c r="E13" s="20">
        <f>E9+E10+E11+E12</f>
        <v>-811103023.5295508</v>
      </c>
      <c r="F13" s="20">
        <f>F9+F10+F11+F12</f>
        <v>-851397657.8009048</v>
      </c>
    </row>
    <row r="14" spans="1:6" x14ac:dyDescent="0.25">
      <c r="A14" t="s">
        <v>50</v>
      </c>
      <c r="B14" s="21">
        <f>1/(1+Assumptions!$B$26)^(1-0.5*Assumptions!$B$32)</f>
        <v>0.9733814453145626</v>
      </c>
      <c r="C14" s="21">
        <f>1/(1+Assumptions!$B$26)^(2-0.5*Assumptions!$B$32)</f>
        <v>0.9222511177951734</v>
      </c>
      <c r="D14" s="21">
        <f>1/(1+Assumptions!$B$26)^(3-0.5*Assumptions!$B$32)</f>
        <v>0.87380659285074</v>
      </c>
      <c r="E14" s="21">
        <f>1/(1+Assumptions!$B$26)^(4-0.5*Assumptions!$B$32)</f>
        <v>0.8279067891344061</v>
      </c>
      <c r="F14" s="21">
        <f>1/(1+Assumptions!$B$26)^(5-0.5*Assumptions!$B$32)</f>
        <v>0.784418036099579</v>
      </c>
    </row>
    <row r="15" spans="1:6" x14ac:dyDescent="0.25">
      <c r="A15" s="19" t="s">
        <v>51</v>
      </c>
      <c r="B15" s="20">
        <f>B13*B14</f>
        <v>-682636948.7010784</v>
      </c>
      <c r="C15" s="20">
        <f>C13*C14</f>
        <v>-678910224.1138839</v>
      </c>
      <c r="D15" s="20">
        <f>D13*D14</f>
        <v>-675203844.85985</v>
      </c>
      <c r="E15" s="20">
        <f>E13*E14</f>
        <v>-671517699.867559</v>
      </c>
      <c r="F15" s="20">
        <f>F13*F14</f>
        <v>-667851678.6719671</v>
      </c>
    </row>
    <row r="17" spans="1:2" x14ac:dyDescent="0.25">
      <c r="A17" s="22" t="s">
        <v>52</v>
      </c>
      <c r="B17" s="23">
        <f>SUM(B15:F15)</f>
        <v>-3376120396.2143383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-851397657.8009048</v>
      </c>
    </row>
    <row r="5" spans="1:2" x14ac:dyDescent="0.25">
      <c r="A5" t="s">
        <v>56</v>
      </c>
      <c r="B5" s="18">
        <f>IF(Assumptions!$B$33=0,B4,B4-Forecast!F11-Forecast!F10-Forecast!F12)</f>
        <v>2182805018.5902953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0.45093155204484436</v>
      </c>
    </row>
    <row r="7" spans="1:2" x14ac:dyDescent="0.25">
      <c r="A7" t="s">
        <v>58</v>
      </c>
      <c r="B7" s="18">
        <f>-MAX(Forecast!F9,0)*B6</f>
        <v>-984295654.8441973</v>
      </c>
    </row>
    <row r="8" spans="1:2" x14ac:dyDescent="0.25">
      <c r="A8" t="s">
        <v>59</v>
      </c>
      <c r="B8" s="18">
        <f>IF(OR(Assumptions!$B$33=0,Assumptions!B12&lt;=0),B5,MAX(B5+B7,0))</f>
        <v>1198509363.746098</v>
      </c>
    </row>
    <row r="9" spans="1:2" x14ac:dyDescent="0.25">
      <c r="A9" t="s">
        <v>60</v>
      </c>
      <c r="B9" s="18">
        <f>B8*(1+Assumptions!B12)/(Assumptions!B26-Assumptions!B12)</f>
        <v>40356121848.61207</v>
      </c>
    </row>
    <row r="10" spans="1:2" x14ac:dyDescent="0.25">
      <c r="A10" t="s">
        <v>61</v>
      </c>
      <c r="B10" s="18">
        <f>B9/(1+Assumptions!B26)^(5-0.5*Assumptions!B32)</f>
        <v>31656069845.08359</v>
      </c>
    </row>
    <row r="11" spans="1:2" x14ac:dyDescent="0.25">
      <c r="A11" t="s">
        <v>62</v>
      </c>
      <c r="B11" s="18">
        <f>Forecast!B17+B10</f>
        <v>28279949448.869255</v>
      </c>
    </row>
    <row r="12" spans="1:2" x14ac:dyDescent="0.25">
      <c r="A12" t="s">
        <v>63</v>
      </c>
      <c r="B12" s="18">
        <f>-Assumptions!B30</f>
        <v>-21112000000</v>
      </c>
    </row>
    <row r="13" spans="1:2" x14ac:dyDescent="0.25">
      <c r="A13" t="s">
        <v>64</v>
      </c>
      <c r="B13" s="18">
        <f>B11+B12</f>
        <v>7167949448.869255</v>
      </c>
    </row>
    <row r="14" spans="1:2" x14ac:dyDescent="0.25">
      <c r="A14" s="19" t="s">
        <v>65</v>
      </c>
      <c r="B14" s="24">
        <f>B13/Assumptions!B31</f>
        <v>23.91708191147566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4061295706.906266</v>
      </c>
    </row>
    <row r="18" spans="1:2" x14ac:dyDescent="0.25">
      <c r="A18" t="s">
        <v>60</v>
      </c>
      <c r="B18" s="18">
        <f>B17*Assumptions!B13</f>
        <v>51329737652.76632</v>
      </c>
    </row>
    <row r="19" spans="1:2" x14ac:dyDescent="0.25">
      <c r="A19" t="s">
        <v>61</v>
      </c>
      <c r="B19" s="18">
        <f>B18/(1+Assumptions!B26)^(5-0.5*Assumptions!B32)</f>
        <v>40263972003.08957</v>
      </c>
    </row>
    <row r="20" spans="1:2" x14ac:dyDescent="0.25">
      <c r="A20" t="s">
        <v>62</v>
      </c>
      <c r="B20" s="18">
        <f>Forecast!B17+B19</f>
        <v>36887851606.87523</v>
      </c>
    </row>
    <row r="21" spans="1:2" x14ac:dyDescent="0.25">
      <c r="A21" t="s">
        <v>63</v>
      </c>
      <c r="B21" s="18">
        <f>-Assumptions!B30</f>
        <v>-21112000000</v>
      </c>
    </row>
    <row r="22" spans="1:2" x14ac:dyDescent="0.25">
      <c r="A22" t="s">
        <v>64</v>
      </c>
      <c r="B22" s="18">
        <f>B20+B21</f>
        <v>15775851606.875229</v>
      </c>
    </row>
    <row r="23" spans="1:2" x14ac:dyDescent="0.25">
      <c r="A23" s="19" t="s">
        <v>65</v>
      </c>
      <c r="B23" s="25">
        <f>B22/Assumptions!B31</f>
        <v>52.63881083375118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69.03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23.91708191147566</v>
      </c>
    </row>
    <row r="29" spans="1:2" x14ac:dyDescent="0.25">
      <c r="A29" s="19" t="s">
        <v>73</v>
      </c>
      <c r="B29" s="12">
        <f>B28/B26-1</f>
        <v>-0.6535262652256171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0.035441</v>
      </c>
      <c r="B5" s="31">
        <v>138.32242028954346</v>
      </c>
      <c r="C5" s="31">
        <v>171.89695041640508</v>
      </c>
      <c r="D5" s="31">
        <v>237.0582198073071</v>
      </c>
      <c r="E5" s="31">
        <v>420.8860095614241</v>
      </c>
      <c r="F5" s="31">
        <v>4759.656522509225</v>
      </c>
    </row>
    <row r="6" spans="1:6" x14ac:dyDescent="0.25">
      <c r="A6" s="30">
        <v>0.045441</v>
      </c>
      <c r="B6" s="31">
        <v>59.87200322092608</v>
      </c>
      <c r="C6" s="31">
        <v>65.7483784243152</v>
      </c>
      <c r="D6" s="31">
        <v>74.22087790288047</v>
      </c>
      <c r="E6" s="31">
        <v>87.8114797751147</v>
      </c>
      <c r="F6" s="31">
        <v>113.87307513430684</v>
      </c>
    </row>
    <row r="7" spans="1:6" x14ac:dyDescent="0.25">
      <c r="A7" s="30">
        <v>0.055441</v>
      </c>
      <c r="B7" s="31">
        <v>22.886093895546317</v>
      </c>
      <c r="C7" s="31">
        <v>23.401339535908374</v>
      </c>
      <c r="D7" s="32">
        <v>23.916585176270466</v>
      </c>
      <c r="E7" s="31">
        <v>24.43183081663252</v>
      </c>
      <c r="F7" s="31">
        <v>24.947076456994562</v>
      </c>
    </row>
    <row r="8" spans="1:6" x14ac:dyDescent="0.25">
      <c r="A8" s="30">
        <v>0.065441</v>
      </c>
      <c r="B8" s="31">
        <v>3.4817534694448247</v>
      </c>
      <c r="C8" s="31">
        <v>3.9001286902870174</v>
      </c>
      <c r="D8" s="31">
        <v>4.318503911129172</v>
      </c>
      <c r="E8" s="31">
        <v>4.736879131971352</v>
      </c>
      <c r="F8" s="31">
        <v>5.15525435281352</v>
      </c>
    </row>
    <row r="9" spans="1:6" x14ac:dyDescent="0.25">
      <c r="A9" s="30">
        <v>0.075441</v>
      </c>
      <c r="B9" s="31">
        <v>-10.558888059247183</v>
      </c>
      <c r="C9" s="31">
        <v>-10.210910597465586</v>
      </c>
      <c r="D9" s="31">
        <v>-9.862933135684017</v>
      </c>
      <c r="E9" s="31">
        <v>-9.514955673902433</v>
      </c>
      <c r="F9" s="31">
        <v>-9.166978212120851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8776000000</v>
      </c>
      <c r="C5" s="18">
        <v>7200000000</v>
      </c>
      <c r="D5" s="18">
        <v>7563000000</v>
      </c>
      <c r="E5" s="18">
        <v>7588000000</v>
      </c>
      <c r="F5" s="8" t="s">
        <v>84</v>
      </c>
    </row>
    <row r="6" spans="1:6" x14ac:dyDescent="0.25">
      <c r="A6" t="s">
        <v>44</v>
      </c>
      <c r="B6" s="18">
        <v>2050000000</v>
      </c>
      <c r="C6" s="18">
        <v>1305000000</v>
      </c>
      <c r="D6" s="18">
        <v>1794000000</v>
      </c>
      <c r="E6" s="18">
        <v>1702000000</v>
      </c>
      <c r="F6" s="8" t="s">
        <v>85</v>
      </c>
    </row>
    <row r="7" spans="1:6" x14ac:dyDescent="0.25">
      <c r="A7" t="s">
        <v>86</v>
      </c>
      <c r="B7" s="18">
        <v>1298000000</v>
      </c>
      <c r="C7" s="18">
        <v>1165000000</v>
      </c>
      <c r="D7" s="18">
        <v>1060000000</v>
      </c>
      <c r="E7" s="18">
        <v>959000000</v>
      </c>
      <c r="F7" s="8" t="s">
        <v>87</v>
      </c>
    </row>
    <row r="8" spans="1:6" x14ac:dyDescent="0.25">
      <c r="A8" t="s">
        <v>88</v>
      </c>
      <c r="B8" s="18">
        <v>3532000000</v>
      </c>
      <c r="C8" s="18">
        <v>3151000000</v>
      </c>
      <c r="D8" s="18">
        <v>2937000000</v>
      </c>
      <c r="E8" s="18">
        <v>2596000000</v>
      </c>
      <c r="F8" s="8" t="s">
        <v>89</v>
      </c>
    </row>
    <row r="9" spans="1:6" x14ac:dyDescent="0.25">
      <c r="A9" t="s">
        <v>90</v>
      </c>
      <c r="B9" s="18">
        <v>757000000</v>
      </c>
      <c r="C9" s="18">
        <v>-452000000</v>
      </c>
      <c r="D9" s="18">
        <v>95000000</v>
      </c>
      <c r="E9" s="18">
        <v>234000000</v>
      </c>
      <c r="F9" s="8" t="s">
        <v>91</v>
      </c>
    </row>
    <row r="10" spans="1:6" x14ac:dyDescent="0.25">
      <c r="A10" t="s">
        <v>92</v>
      </c>
      <c r="B10" s="18">
        <v>21461000000</v>
      </c>
      <c r="C10" s="18">
        <v>19807000000</v>
      </c>
      <c r="D10" s="18">
        <v>19798000000</v>
      </c>
      <c r="E10" s="18">
        <v>19044000000</v>
      </c>
      <c r="F10" s="8" t="s">
        <v>93</v>
      </c>
    </row>
    <row r="11" spans="1:6" x14ac:dyDescent="0.25">
      <c r="A11" t="s">
        <v>94</v>
      </c>
      <c r="B11" s="18">
        <v>349000000</v>
      </c>
      <c r="C11" s="18">
        <v>196000000</v>
      </c>
      <c r="D11" s="18">
        <v>567000000</v>
      </c>
      <c r="E11" s="18">
        <v>310000000</v>
      </c>
      <c r="F11" s="8" t="s">
        <v>95</v>
      </c>
    </row>
    <row r="12" spans="1:6" x14ac:dyDescent="0.25">
      <c r="A12" t="s">
        <v>32</v>
      </c>
      <c r="B12" s="34">
        <v>299700000</v>
      </c>
      <c r="C12" s="34">
        <v>289200000</v>
      </c>
      <c r="D12" s="34">
        <v>274000000</v>
      </c>
      <c r="E12" s="34">
        <v>266000000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2026-09-19T00:06:42Z</dcterms:modified>
</cp:coreProperties>
</file>