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<sst xmlns="http://schemas.openxmlformats.org/spreadsheetml/2006/main" count="112" uniqueCount="100">
  <si>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EMCOR Group, Inc. (EME)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</si>
  <si>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</si>
  <si>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</si>
  <si>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</si>
  <si>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</si>
  <si>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</si>
  <si>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</si>
  <si>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</si>
  <si>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</si>
  <si>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</si>
  <si>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</si>
  <si>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</si>
  <si>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</si>
  <si>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</si>
  <si>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</si>
  <si>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</si>
  <si>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</si>
  <si>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</si>
  <si>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</si>
  <si>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</si>
  <si>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</si>
  <si>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</si>
  <si>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</si>
  <si>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</si>
  <si>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</si>
  <si>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</si>
  <si>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</si>
  <si>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</si>
  <si>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</si>
  <si>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</si>
  <si>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</si>
  <si>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</si>
  <si>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</si>
  <si>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</si>
  <si>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</si>
  <si>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</si>
  <si>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</si>
  <si>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</si>
  <si>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</si>
  <si>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</si>
  <si>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</si>
  <si>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</si>
  <si>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</si>
  <si>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</si>
  <si>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</si>
  <si>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</si>
  <si>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</si>
  <si>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</si>
  <si>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</si>
  <si>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</si>
  <si>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</si>
  <si>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</si>
  <si>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</si>
  <si>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</si>
  <si>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</si>
  <si>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</si>
  <si>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</si>
  <si>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</si>
  <si>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</si>
  <si>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</si>
  <si>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</si>
  <si>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</si>
  <si>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</si>
  <si>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</si>
  <si>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</si>
  <si>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</si>
  <si>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</si>
  <si>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</si>
  <si>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</si>
  <si>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</si>
  <si>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</si>
  <si>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</si>
  <si>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</si>
  <si>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</si>
  <si>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</si>
  <si>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</si>
  <si>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</si>
  <si>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</si>
  <si>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</si>
  <si>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</si>
  <si>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</si>
  <si>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</si>
  <si>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</si>
  <si>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</si>
  <si>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</si>
  <si>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</si>
  <si>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</si>
  <si>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</si>
  <si>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</si>
  <si>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</si>
  <si>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</si>
  <si>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</si>
  <si>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</si>
  <si>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</si>
  <si>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</si>
  <si>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</si>
  <si>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</si>
  <si>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</si>
  <si>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0.56%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</si>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</sst>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0.15320031490276653</v>
      </c>
    </row>
    <row r="7" spans="1:2" x14ac:dyDescent="0.25">
      <c r="A7" t="s">
        <v>5</v>
      </c>
      <c r="B7" s="6">
        <v>0.07636361501809584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0.009853125054231476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-0.0941448266570566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18.48623355719383</v>
      </c>
    </row>
    <row r="14" spans="1:3" x14ac:dyDescent="0.25">
      <c r="A14" t="s">
        <v>12</v>
      </c>
      <c r="B14" s="6">
        <v>0.30907852802255104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1.0871</v>
      </c>
      <c r="C19" s="8" t="s">
        <v>19</v>
      </c>
    </row>
    <row r="20" spans="1:2" x14ac:dyDescent="0.25">
      <c r="A20" t="s">
        <v>20</v>
      </c>
      <c r="B20" s="10">
        <f>B17+B19*B18</f>
        <v>0.1097705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33086396416</v>
      </c>
    </row>
    <row r="23" spans="1:2" x14ac:dyDescent="0.25">
      <c r="A23" t="s">
        <v>24</v>
      </c>
      <c r="B23" s="11">
        <v>468209000</v>
      </c>
    </row>
    <row r="24" spans="1:2" x14ac:dyDescent="0.25">
      <c r="A24" t="s">
        <v>25</v>
      </c>
      <c r="B24" s="10">
        <f>B22/(B22+B23)</f>
        <v>0.9860463565523933</v>
      </c>
    </row>
    <row r="25" spans="1:2" x14ac:dyDescent="0.25">
      <c r="A25" t="s">
        <v>26</v>
      </c>
      <c r="B25" s="10">
        <f>1-B24</f>
        <v>0.013953643447606745</v>
      </c>
    </row>
    <row r="26" spans="1:2" x14ac:dyDescent="0.25">
      <c r="A26" t="s">
        <v>27</v>
      </c>
      <c r="B26" s="12">
        <f>B24*B20+B25*B21*(1-B8)</f>
        <v>0.10878975003054847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16986422000</v>
      </c>
      <c r="C29" s="8" t="s">
        <v>30</v>
      </c>
    </row>
    <row r="30" spans="1:2" x14ac:dyDescent="0.25">
      <c r="A30" t="s">
        <v>31</v>
      </c>
      <c r="B30" s="11">
        <v>-643759000</v>
      </c>
    </row>
    <row r="31" spans="1:2" x14ac:dyDescent="0.25">
      <c r="A31" t="s">
        <v>32</v>
      </c>
      <c r="B31" s="13">
        <v>45145767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0.15320031490276653</v>
      </c>
      <c r="C5" s="10">
        <f>Assumptions!B6</f>
        <v>0.15320031490276653</v>
      </c>
      <c r="D5" s="10">
        <f>Assumptions!B6</f>
        <v>0.15320031490276653</v>
      </c>
      <c r="E5" s="10">
        <f>Assumptions!B6</f>
        <v>0.15320031490276653</v>
      </c>
      <c r="F5" s="10">
        <f>Assumptions!B6</f>
        <v>0.15320031490276653</v>
      </c>
    </row>
    <row r="6" spans="1:6" x14ac:dyDescent="0.25">
      <c r="A6" t="s">
        <v>43</v>
      </c>
      <c r="B6" s="18">
        <f>Assumptions!B29*(1+B5)</f>
        <v>19588747199.471283</v>
      </c>
      <c r="C6" s="18">
        <f>B6*(1+C5)</f>
        <v>22589749438.98097</v>
      </c>
      <c r="D6" s="18">
        <f>C6*(1+D5)</f>
        <v>26050506166.607445</v>
      </c>
      <c r="E6" s="18">
        <f>D6*(1+E5)</f>
        <v>30041451914.708168</v>
      </c>
      <c r="F6" s="18">
        <f>E6*(1+F5)</f>
        <v>34643811808.17778</v>
      </c>
    </row>
    <row r="7" spans="1:6" x14ac:dyDescent="0.25">
      <c r="A7" t="s">
        <v>5</v>
      </c>
      <c r="B7" s="10">
        <f>Assumptions!B7</f>
        <v>0.07636361501809584</v>
      </c>
      <c r="C7" s="10">
        <f>Assumptions!B7</f>
        <v>0.07636361501809584</v>
      </c>
      <c r="D7" s="10">
        <f>Assumptions!B7</f>
        <v>0.07636361501809584</v>
      </c>
      <c r="E7" s="10">
        <f>Assumptions!B7</f>
        <v>0.07636361501809584</v>
      </c>
      <c r="F7" s="10">
        <f>Assumptions!B7</f>
        <v>0.07636361501809584</v>
      </c>
    </row>
    <row r="8" spans="1:6" x14ac:dyDescent="0.25">
      <c r="A8" t="s">
        <v>44</v>
      </c>
      <c r="B8" s="18">
        <f>B6*B7</f>
        <v>1495867549.827228</v>
      </c>
      <c r="C8" s="18">
        <f>C6*C7</f>
        <v>1725034929.5135891</v>
      </c>
      <c r="D8" s="18">
        <f>D6*D7</f>
        <v>1989310823.9333425</v>
      </c>
      <c r="E8" s="18">
        <f>E6*E7</f>
        <v>2294073868.599413</v>
      </c>
      <c r="F8" s="18">
        <f>F6*F7</f>
        <v>2645526707.679051</v>
      </c>
    </row>
    <row r="9" spans="1:6" x14ac:dyDescent="0.25">
      <c r="A9" t="s">
        <v>45</v>
      </c>
      <c r="B9" s="18">
        <f>B8*(1-Assumptions!B8)</f>
        <v>1181735364.3635101</v>
      </c>
      <c r="C9" s="18">
        <f>C8*(1-Assumptions!B8)</f>
        <v>1362777594.3157356</v>
      </c>
      <c r="D9" s="18">
        <f>D8*(1-Assumptions!B8)</f>
        <v>1571555550.9073405</v>
      </c>
      <c r="E9" s="18">
        <f>E8*(1-Assumptions!B8)</f>
        <v>1812318356.1935363</v>
      </c>
      <c r="F9" s="18">
        <f>F8*(1-Assumptions!B8)</f>
        <v>2089966099.0664504</v>
      </c>
    </row>
    <row r="10" spans="1:6" x14ac:dyDescent="0.25">
      <c r="A10" t="s">
        <v>46</v>
      </c>
      <c r="B10" s="18">
        <f>B6*Assumptions!B9</f>
        <v>193010375.81211716</v>
      </c>
      <c r="C10" s="18">
        <f>C6*Assumptions!B9</f>
        <v>222579626.16603482</v>
      </c>
      <c r="D10" s="18">
        <f>D6*Assumptions!B9</f>
        <v>256678894.98561138</v>
      </c>
      <c r="E10" s="18">
        <f>E6*Assumptions!B9</f>
        <v>296002182.5263012</v>
      </c>
      <c r="F10" s="18">
        <f>F6*Assumptions!B9</f>
        <v>341349810.10123676</v>
      </c>
    </row>
    <row r="11" spans="1:6" x14ac:dyDescent="0.25">
      <c r="A11" t="s">
        <v>47</v>
      </c>
      <c r="B11" s="18">
        <f>-B6*Assumptions!B10</f>
        <v>-195887471.99471283</v>
      </c>
      <c r="C11" s="18">
        <f>-C6*Assumptions!B10</f>
        <v>-225897494.3898097</v>
      </c>
      <c r="D11" s="18">
        <f>-D6*Assumptions!B10</f>
        <v>-260505061.66607445</v>
      </c>
      <c r="E11" s="18">
        <f>-E6*Assumptions!B10</f>
        <v>-300414519.1470817</v>
      </c>
      <c r="F11" s="18">
        <f>-F6*Assumptions!B10</f>
        <v>-346438118.0817778</v>
      </c>
    </row>
    <row r="12" spans="1:6" x14ac:dyDescent="0.25">
      <c r="A12" t="s">
        <v>48</v>
      </c>
      <c r="B12" s="18">
        <f>-(B6-Assumptions!B29)*Assumptions!B11</f>
        <v>244995454.8095142</v>
      </c>
      <c r="C12" s="18">
        <f>-(C6-B6)*Assumptions!B11</f>
        <v>282528835.636078</v>
      </c>
      <c r="D12" s="18">
        <f>-(D6-C6)*Assumptions!B11</f>
        <v>325812342.2246371</v>
      </c>
      <c r="E12" s="18">
        <f>-(E6-D6)*Assumptions!B11</f>
        <v>375726895.65265965</v>
      </c>
      <c r="F12" s="18">
        <f>-(F6-E6)*Assumptions!B11</f>
        <v>433288374.38408613</v>
      </c>
    </row>
    <row r="13" spans="1:6" x14ac:dyDescent="0.25">
      <c r="A13" s="19" t="s">
        <v>49</v>
      </c>
      <c r="B13" s="20">
        <f>B9+B10+B11+B12</f>
        <v>1423853722.9904287</v>
      </c>
      <c r="C13" s="20">
        <f>C9+C10+C11+C12</f>
        <v>1641988561.7280388</v>
      </c>
      <c r="D13" s="20">
        <f>D9+D10+D11+D12</f>
        <v>1893541726.4515145</v>
      </c>
      <c r="E13" s="20">
        <f>E9+E10+E11+E12</f>
        <v>2183632915.225415</v>
      </c>
      <c r="F13" s="20">
        <f>F9+F10+F11+F12</f>
        <v>2518166165.4699955</v>
      </c>
    </row>
    <row r="14" spans="1:6" x14ac:dyDescent="0.25">
      <c r="A14" t="s">
        <v>50</v>
      </c>
      <c r="B14" s="21">
        <f>1/(1+Assumptions!$B$26)^(1-0.5*Assumptions!$B$32)</f>
        <v>0.9496758600041303</v>
      </c>
      <c r="C14" s="21">
        <f>1/(1+Assumptions!$B$26)^(2-0.5*Assumptions!$B$32)</f>
        <v>0.8564976903673267</v>
      </c>
      <c r="D14" s="21">
        <f>1/(1+Assumptions!$B$26)^(3-0.5*Assumptions!$B$32)</f>
        <v>0.7724617677460754</v>
      </c>
      <c r="E14" s="21">
        <f>1/(1+Assumptions!$B$26)^(4-0.5*Assumptions!$B$32)</f>
        <v>0.6966710936178776</v>
      </c>
      <c r="F14" s="21">
        <f>1/(1+Assumptions!$B$26)^(5-0.5*Assumptions!$B$32)</f>
        <v>0.6283166791528181</v>
      </c>
    </row>
    <row r="15" spans="1:6" x14ac:dyDescent="0.25">
      <c r="A15" s="19" t="s">
        <v>51</v>
      </c>
      <c r="B15" s="20">
        <f>B13*B14</f>
        <v>1352199508.9010181</v>
      </c>
      <c r="C15" s="20">
        <f>C13*C14</f>
        <v>1406359410.7296338</v>
      </c>
      <c r="D15" s="20">
        <f>D13*D14</f>
        <v>1462688589.3156924</v>
      </c>
      <c r="E15" s="20">
        <f>E13*E14</f>
        <v>1521273931.1100843</v>
      </c>
      <c r="F15" s="20">
        <f>F13*F14</f>
        <v>1582205802.6430933</v>
      </c>
    </row>
    <row r="17" spans="1:2" x14ac:dyDescent="0.25">
      <c r="A17" s="22" t="s">
        <v>52</v>
      </c>
      <c r="B17" s="23">
        <f>SUM(B15:F15)</f>
        <v>7324727242.699522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2518166165.4699955</v>
      </c>
    </row>
    <row r="5" spans="1:2" x14ac:dyDescent="0.25">
      <c r="A5" t="s">
        <v>56</v>
      </c>
      <c r="B5" s="18">
        <f>IF(Assumptions!$B$33=0,B4,B4-Forecast!F11-Forecast!F10-Forecast!F12)</f>
        <v>2248477439.9019103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0.08088559292664921</v>
      </c>
    </row>
    <row r="7" spans="1:2" x14ac:dyDescent="0.25">
      <c r="A7" t="s">
        <v>58</v>
      </c>
      <c r="B7" s="18">
        <f>-MAX(Forecast!F9,0)*B6</f>
        <v>-181869430.90866026</v>
      </c>
    </row>
    <row r="8" spans="1:2" x14ac:dyDescent="0.25">
      <c r="A8" t="s">
        <v>59</v>
      </c>
      <c r="B8" s="18">
        <f>IF(OR(Assumptions!$B$33=0,Assumptions!B12&lt;=0),B5,MAX(B5+B7,0))</f>
        <v>2066608008.9932501</v>
      </c>
    </row>
    <row r="9" spans="1:2" x14ac:dyDescent="0.25">
      <c r="A9" t="s">
        <v>60</v>
      </c>
      <c r="B9" s="18">
        <f>B8*(1+Assumptions!B12)/(Assumptions!B26-Assumptions!B12)</f>
        <v>25280815474.992954</v>
      </c>
    </row>
    <row r="10" spans="1:2" x14ac:dyDescent="0.25">
      <c r="A10" t="s">
        <v>61</v>
      </c>
      <c r="B10" s="18">
        <f>B9/(1+Assumptions!B26)^(5-0.5*Assumptions!B32)</f>
        <v>15884358025.522747</v>
      </c>
    </row>
    <row r="11" spans="1:2" x14ac:dyDescent="0.25">
      <c r="A11" t="s">
        <v>62</v>
      </c>
      <c r="B11" s="18">
        <f>Forecast!B17+B10</f>
        <v>23209085268.222267</v>
      </c>
    </row>
    <row r="12" spans="1:2" x14ac:dyDescent="0.25">
      <c r="A12" t="s">
        <v>63</v>
      </c>
      <c r="B12" s="18">
        <f>-Assumptions!B30</f>
        <v>643759000</v>
      </c>
    </row>
    <row r="13" spans="1:2" x14ac:dyDescent="0.25">
      <c r="A13" t="s">
        <v>64</v>
      </c>
      <c r="B13" s="18">
        <f>B11+B12</f>
        <v>23852844268.222267</v>
      </c>
    </row>
    <row r="14" spans="1:2" x14ac:dyDescent="0.25">
      <c r="A14" s="19" t="s">
        <v>65</v>
      </c>
      <c r="B14" s="24">
        <f>B13/Assumptions!B31</f>
        <v>528.3517338009179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2986876517.7802877</v>
      </c>
    </row>
    <row r="18" spans="1:2" x14ac:dyDescent="0.25">
      <c r="A18" t="s">
        <v>60</v>
      </c>
      <c r="B18" s="18">
        <f>B17*Assumptions!B13</f>
        <v>55216096914.18421</v>
      </c>
    </row>
    <row r="19" spans="1:2" x14ac:dyDescent="0.25">
      <c r="A19" t="s">
        <v>61</v>
      </c>
      <c r="B19" s="18">
        <f>B18/(1+Assumptions!B26)^(5-0.5*Assumptions!B32)</f>
        <v>34693194648.90039</v>
      </c>
    </row>
    <row r="20" spans="1:2" x14ac:dyDescent="0.25">
      <c r="A20" t="s">
        <v>62</v>
      </c>
      <c r="B20" s="18">
        <f>Forecast!B17+B19</f>
        <v>42017921891.599915</v>
      </c>
    </row>
    <row r="21" spans="1:2" x14ac:dyDescent="0.25">
      <c r="A21" t="s">
        <v>63</v>
      </c>
      <c r="B21" s="18">
        <f>-Assumptions!B30</f>
        <v>643759000</v>
      </c>
    </row>
    <row r="22" spans="1:2" x14ac:dyDescent="0.25">
      <c r="A22" t="s">
        <v>64</v>
      </c>
      <c r="B22" s="18">
        <f>B20+B21</f>
        <v>42661680891.599915</v>
      </c>
    </row>
    <row r="23" spans="1:2" x14ac:dyDescent="0.25">
      <c r="A23" s="19" t="s">
        <v>65</v>
      </c>
      <c r="B23" s="25">
        <f>B22/Assumptions!B31</f>
        <v>944.9763228432893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750.09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528.3517338009179</v>
      </c>
    </row>
    <row r="29" spans="1:2" x14ac:dyDescent="0.25">
      <c r="A29" s="19" t="s">
        <v>73</v>
      </c>
      <c r="B29" s="12">
        <f>B28/B26-1</f>
        <v>-0.2956155477330481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0.08879</v>
      </c>
      <c r="B5" s="31">
        <v>628.8728307420125</v>
      </c>
      <c r="C5" s="31">
        <v>655.3842248604037</v>
      </c>
      <c r="D5" s="31">
        <v>685.9655279397363</v>
      </c>
      <c r="E5" s="31">
        <v>721.6551586637</v>
      </c>
      <c r="F5" s="31">
        <v>763.8776367324156</v>
      </c>
    </row>
    <row r="6" spans="1:6" x14ac:dyDescent="0.25">
      <c r="A6" s="30">
        <v>0.09879</v>
      </c>
      <c r="B6" s="31">
        <v>556.0388507372204</v>
      </c>
      <c r="C6" s="31">
        <v>575.021551406039</v>
      </c>
      <c r="D6" s="31">
        <v>596.5053229762789</v>
      </c>
      <c r="E6" s="31">
        <v>621.0355363379141</v>
      </c>
      <c r="F6" s="31">
        <v>649.328551843209</v>
      </c>
    </row>
    <row r="7" spans="1:6" x14ac:dyDescent="0.25">
      <c r="A7" s="30">
        <v>0.10879</v>
      </c>
      <c r="B7" s="31">
        <v>498.72647465668535</v>
      </c>
      <c r="C7" s="31">
        <v>512.7327649830617</v>
      </c>
      <c r="D7" s="32">
        <v>528.3502328846625</v>
      </c>
      <c r="E7" s="31">
        <v>545.8856135262095</v>
      </c>
      <c r="F7" s="31">
        <v>565.7287793985437</v>
      </c>
    </row>
    <row r="8" spans="1:6" x14ac:dyDescent="0.25">
      <c r="A8" s="30">
        <v>0.11879</v>
      </c>
      <c r="B8" s="31">
        <v>452.4509660213815</v>
      </c>
      <c r="C8" s="31">
        <v>463.0319315813128</v>
      </c>
      <c r="D8" s="31">
        <v>474.6892142047135</v>
      </c>
      <c r="E8" s="31">
        <v>487.60464468279946</v>
      </c>
      <c r="F8" s="31">
        <v>502.00345535618703</v>
      </c>
    </row>
    <row r="9" spans="1:6" x14ac:dyDescent="0.25">
      <c r="A9" s="30">
        <v>0.12879</v>
      </c>
      <c r="B9" s="31">
        <v>414.3039319258112</v>
      </c>
      <c r="C9" s="31">
        <v>422.44998244927706</v>
      </c>
      <c r="D9" s="31">
        <v>431.3358871629659</v>
      </c>
      <c r="E9" s="31">
        <v>441.0739834780868</v>
      </c>
      <c r="F9" s="31">
        <v>451.80056389940006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16986422000</v>
      </c>
      <c r="C5" s="18">
        <v>14566116000</v>
      </c>
      <c r="D5" s="18">
        <v>12582873000</v>
      </c>
      <c r="E5" s="18">
        <v>11076120000</v>
      </c>
      <c r="F5" s="8" t="s">
        <v>84</v>
      </c>
    </row>
    <row r="6" spans="1:6" x14ac:dyDescent="0.25">
      <c r="A6" t="s">
        <v>44</v>
      </c>
      <c r="B6" s="18">
        <v>1568542000</v>
      </c>
      <c r="C6" s="18">
        <v>1344863000</v>
      </c>
      <c r="D6" s="18">
        <v>878106000</v>
      </c>
      <c r="E6" s="18">
        <v>564877000</v>
      </c>
      <c r="F6" s="8" t="s">
        <v>85</v>
      </c>
    </row>
    <row r="7" spans="1:6" x14ac:dyDescent="0.25">
      <c r="A7" t="s">
        <v>86</v>
      </c>
      <c r="B7" s="18">
        <v>186420000</v>
      </c>
      <c r="C7" s="18">
        <v>133680000</v>
      </c>
      <c r="D7" s="18">
        <v>118965000</v>
      </c>
      <c r="E7" s="18">
        <v>108611000</v>
      </c>
      <c r="F7" s="8" t="s">
        <v>87</v>
      </c>
    </row>
    <row r="8" spans="1:6" x14ac:dyDescent="0.25">
      <c r="A8" t="s">
        <v>88</v>
      </c>
      <c r="B8" s="18">
        <v>112750000</v>
      </c>
      <c r="C8" s="18">
        <v>74950000</v>
      </c>
      <c r="D8" s="18">
        <v>78404000</v>
      </c>
      <c r="E8" s="18">
        <v>49289000</v>
      </c>
      <c r="F8" s="8" t="s">
        <v>89</v>
      </c>
    </row>
    <row r="9" spans="1:6" x14ac:dyDescent="0.25">
      <c r="A9" t="s">
        <v>90</v>
      </c>
      <c r="B9" s="18">
        <v>17751000</v>
      </c>
      <c r="C9" s="18">
        <v>-252723000</v>
      </c>
      <c r="D9" s="18">
        <v>-141853000</v>
      </c>
      <c r="E9" s="18">
        <v>39106000</v>
      </c>
      <c r="F9" s="8" t="s">
        <v>91</v>
      </c>
    </row>
    <row r="10" spans="1:6" x14ac:dyDescent="0.25">
      <c r="A10" t="s">
        <v>92</v>
      </c>
      <c r="B10" s="18">
        <v>468209000</v>
      </c>
      <c r="C10" s="18">
        <v>342822000</v>
      </c>
      <c r="D10" s="18">
        <v>339969000</v>
      </c>
      <c r="E10" s="18">
        <v>535174000</v>
      </c>
      <c r="F10" s="8" t="s">
        <v>93</v>
      </c>
    </row>
    <row r="11" spans="1:6" x14ac:dyDescent="0.25">
      <c r="A11" t="s">
        <v>94</v>
      </c>
      <c r="B11" s="18">
        <v>1111968000</v>
      </c>
      <c r="C11" s="18">
        <v>1339550000</v>
      </c>
      <c r="D11" s="18">
        <v>789750000</v>
      </c>
      <c r="E11" s="18">
        <v>456439000</v>
      </c>
      <c r="F11" s="8" t="s">
        <v>95</v>
      </c>
    </row>
    <row r="12" spans="1:6" x14ac:dyDescent="0.25">
      <c r="A12" t="s">
        <v>32</v>
      </c>
      <c r="B12" s="34">
        <v>45145767</v>
      </c>
      <c r="C12" s="34">
        <v>46808293</v>
      </c>
      <c r="D12" s="34">
        <v>47564258</v>
      </c>
      <c r="E12" s="34">
        <v>50136262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2026-09-19T00:07:13Z</dcterms:modified>
</cp:coreProperties>
</file>