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<sst xmlns="http://schemas.openxmlformats.org/spreadsheetml/2006/main" count="120" uniqueCount="107">
  <si>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EMCOR Group, Inc. (EME)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</si>
  <si>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</si>
  <si>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</si>
  <si>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</si>
  <si>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</si>
  <si>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</si>
  <si>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</si>
  <si>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</si>
  <si>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</si>
  <si>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</si>
  <si>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</si>
  <si>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</si>
  <si>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</si>
  <si>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</si>
  <si>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</si>
  <si>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</si>
  <si>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</si>
  <si>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</si>
  <si>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</si>
  <si>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</si>
  <si>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</si>
  <si>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</si>
  <si>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</si>
  <si>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</si>
  <si>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130.5x interest cover. Book interest / average debt was lower, at 3.0%.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</si>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</sst>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0.21878918762291444</v>
      </c>
    </row>
    <row r="7" spans="1:2" x14ac:dyDescent="0.25">
      <c r="A7" t="s">
        <v>4</v>
      </c>
      <c r="B7" s="5">
        <v>0.07636361501809584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0.009853125054231476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0.1863474024075362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16.58628557427454</v>
      </c>
    </row>
    <row r="14" spans="1:3" x14ac:dyDescent="0.25">
      <c r="A14" t="s">
        <v>12</v>
      </c>
      <c r="B14" s="5">
        <v>0.30907852802255104</v>
      </c>
      <c r="C14" s="6" t="s">
        <v>13</v>
      </c>
    </row>
    <row r="15" spans="1:3" x14ac:dyDescent="0.25">
      <c r="A15" t="s">
        <v>14</v>
      </c>
      <c r="B15" s="5">
        <v>0.004061404789980258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29752059904</v>
      </c>
    </row>
    <row r="23" spans="1:2" x14ac:dyDescent="0.25">
      <c r="A23" t="s">
        <v>26</v>
      </c>
      <c r="B23" s="10">
        <v>468209000</v>
      </c>
    </row>
    <row r="24" spans="1:2" x14ac:dyDescent="0.25">
      <c r="A24" t="s">
        <v>27</v>
      </c>
      <c r="B24" s="9">
        <f>B22/(B22+B23)</f>
        <v>0.9845067890862471</v>
      </c>
    </row>
    <row r="25" spans="1:2" x14ac:dyDescent="0.25">
      <c r="A25" t="s">
        <v>28</v>
      </c>
      <c r="B25" s="9">
        <f>1-B24</f>
        <v>0.015493210913752886</v>
      </c>
    </row>
    <row r="26" spans="1:2" x14ac:dyDescent="0.25">
      <c r="A26" t="s">
        <v>29</v>
      </c>
      <c r="B26" s="11">
        <f>B24*B20+B25*B21*(1-B8)</f>
        <v>0.09047436579899071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16986422000</v>
      </c>
      <c r="C29" s="6" t="s">
        <v>32</v>
      </c>
    </row>
    <row r="30" spans="1:2" x14ac:dyDescent="0.25">
      <c r="A30" t="s">
        <v>33</v>
      </c>
      <c r="B30" s="10">
        <v>-643759000</v>
      </c>
    </row>
    <row r="31" spans="1:2" x14ac:dyDescent="0.25">
      <c r="A31" t="s">
        <v>34</v>
      </c>
      <c r="B31" s="12">
        <v>45145767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0.21878918762291444</v>
      </c>
      <c r="C5" s="5">
        <v>0.12057956578321272</v>
      </c>
      <c r="D5" s="5">
        <v>0.10863212006031113</v>
      </c>
      <c r="E5" s="5">
        <v>0.09668467433740954</v>
      </c>
      <c r="F5" s="5">
        <v>0.08473722861450794</v>
      </c>
      <c r="G5" s="5">
        <v>0.07278978289160636</v>
      </c>
      <c r="H5" s="5">
        <v>0.06084233716870477</v>
      </c>
      <c r="I5" s="5">
        <v>0.04889489144580317</v>
      </c>
      <c r="J5" s="5">
        <v>0.03694744572290158</v>
      </c>
      <c r="K5" s="5">
        <v>0.024999999999999994</v>
      </c>
    </row>
    <row r="6" spans="1:11" x14ac:dyDescent="0.25">
      <c r="A6" t="s">
        <v>50</v>
      </c>
      <c r="B6" s="18">
        <f>Assumptions!B29*(1+B5)</f>
        <v>20702867470</v>
      </c>
      <c r="C6" s="18">
        <f>B6*(1+C5)</f>
        <v>23199210240</v>
      </c>
      <c r="D6" s="18">
        <f>C6*(1+D5)</f>
        <v>25719389632.096077</v>
      </c>
      <c r="E6" s="18">
        <f>D6*(1+E5)</f>
        <v>28206060442.83223</v>
      </c>
      <c r="F6" s="18">
        <f>E6*(1+F5)</f>
        <v>30596163834.89113</v>
      </c>
      <c r="G6" s="18">
        <f>F6*(1+G5)</f>
        <v>32823251957.748875</v>
      </c>
      <c r="H6" s="18">
        <f>G6*(1+H5)</f>
        <v>34820295320.33558</v>
      </c>
      <c r="I6" s="18">
        <f>H6*(1+I5)</f>
        <v>36522829880.13419</v>
      </c>
      <c r="J6" s="18">
        <f>I6*(1+J5)</f>
        <v>37872255154.77722</v>
      </c>
      <c r="K6" s="18">
        <f>J6*(1+K5)</f>
        <v>38819061533.64665</v>
      </c>
    </row>
    <row r="7" spans="1:11" x14ac:dyDescent="0.25">
      <c r="A7" t="s">
        <v>4</v>
      </c>
      <c r="B7" s="9">
        <f>Assumptions!B7</f>
        <v>0.07636361501809584</v>
      </c>
      <c r="C7" s="9">
        <f>Assumptions!B7</f>
        <v>0.07636361501809584</v>
      </c>
      <c r="D7" s="9">
        <f>Assumptions!B7</f>
        <v>0.07636361501809584</v>
      </c>
      <c r="E7" s="9">
        <f>Assumptions!B7</f>
        <v>0.07636361501809584</v>
      </c>
      <c r="F7" s="9">
        <f>Assumptions!B7</f>
        <v>0.07636361501809584</v>
      </c>
      <c r="G7" s="9">
        <f>Assumptions!B7</f>
        <v>0.07636361501809584</v>
      </c>
      <c r="H7" s="9">
        <f>Assumptions!B7</f>
        <v>0.07636361501809584</v>
      </c>
      <c r="I7" s="9">
        <f>Assumptions!B7</f>
        <v>0.07636361501809584</v>
      </c>
      <c r="J7" s="9">
        <f>Assumptions!B7</f>
        <v>0.07636361501809584</v>
      </c>
      <c r="K7" s="9">
        <f>Assumptions!B7</f>
        <v>0.07636361501809584</v>
      </c>
    </row>
    <row r="8" spans="1:11" x14ac:dyDescent="0.25">
      <c r="A8" t="s">
        <v>51</v>
      </c>
      <c r="B8" s="18">
        <f>B6*B7</f>
        <v>1580945801.24974</v>
      </c>
      <c r="C8" s="18">
        <f>C6*C7</f>
        <v>1771575559.491227</v>
      </c>
      <c r="D8" s="18">
        <f>D6*D7</f>
        <v>1964025568.3657904</v>
      </c>
      <c r="E8" s="18">
        <f>E6*E7</f>
        <v>2153916740.8335824</v>
      </c>
      <c r="F8" s="18">
        <f>F6*F7</f>
        <v>2336433676.118213</v>
      </c>
      <c r="G8" s="18">
        <f>G6*G7</f>
        <v>2506502176.1434956</v>
      </c>
      <c r="H8" s="18">
        <f>H6*H7</f>
        <v>2659003626.65851</v>
      </c>
      <c r="I8" s="18">
        <f>I6*I7</f>
        <v>2789015320.337975</v>
      </c>
      <c r="J8" s="18">
        <f>J6*J7</f>
        <v>2892062312.5065036</v>
      </c>
      <c r="K8" s="18">
        <f>K6*K7</f>
        <v>2964363870.319166</v>
      </c>
    </row>
    <row r="9" spans="1:11" x14ac:dyDescent="0.25">
      <c r="A9" t="s">
        <v>52</v>
      </c>
      <c r="B9" s="18">
        <f>B8*(1-Assumptions!B8)</f>
        <v>1248947182.9872947</v>
      </c>
      <c r="C9" s="18">
        <f>C8*(1-Assumptions!B8)</f>
        <v>1399544691.9980693</v>
      </c>
      <c r="D9" s="18">
        <f>D8*(1-Assumptions!B8)</f>
        <v>1551580199.0089746</v>
      </c>
      <c r="E9" s="18">
        <f>E8*(1-Assumptions!B8)</f>
        <v>1701594225.2585301</v>
      </c>
      <c r="F9" s="18">
        <f>F8*(1-Assumptions!B8)</f>
        <v>1845782604.1333885</v>
      </c>
      <c r="G9" s="18">
        <f>G8*(1-Assumptions!B8)</f>
        <v>1980136719.1533616</v>
      </c>
      <c r="H9" s="18">
        <f>H8*(1-Assumptions!B8)</f>
        <v>2100612865.060223</v>
      </c>
      <c r="I9" s="18">
        <f>I8*(1-Assumptions!B8)</f>
        <v>2203322103.0670004</v>
      </c>
      <c r="J9" s="18">
        <f>J8*(1-Assumptions!B8)</f>
        <v>2284729226.880138</v>
      </c>
      <c r="K9" s="18">
        <f>K8*(1-Assumptions!B8)</f>
        <v>2341847457.552141</v>
      </c>
    </row>
    <row r="10" spans="1:11" x14ac:dyDescent="0.25">
      <c r="A10" t="s">
        <v>53</v>
      </c>
      <c r="B10" s="18">
        <f>B6*Assumptions!B9</f>
        <v>203987942.1630908</v>
      </c>
      <c r="C10" s="18">
        <f>C6*Assumptions!B9</f>
        <v>228584719.65412742</v>
      </c>
      <c r="D10" s="18">
        <f>D6*Assumptions!B9</f>
        <v>253416362.36354712</v>
      </c>
      <c r="E10" s="18">
        <f>E6*Assumptions!B9</f>
        <v>277917840.8304376</v>
      </c>
      <c r="F10" s="18">
        <f>F6*Assumptions!B9</f>
        <v>301467828.44493675</v>
      </c>
      <c r="G10" s="18">
        <f>G6*Assumptions!B9</f>
        <v>323411606.2262478</v>
      </c>
      <c r="H10" s="18">
        <f>H6*Assumptions!B9</f>
        <v>343088724.21653754</v>
      </c>
      <c r="I10" s="18">
        <f>I6*Assumptions!B9</f>
        <v>359864010.1433842</v>
      </c>
      <c r="J10" s="18">
        <f>J6*Assumptions!B9</f>
        <v>373160066.1257826</v>
      </c>
      <c r="K10" s="18">
        <f>K6*Assumptions!B9</f>
        <v>382489067.77892715</v>
      </c>
    </row>
    <row r="11" spans="1:11" x14ac:dyDescent="0.25">
      <c r="A11" t="s">
        <v>54</v>
      </c>
      <c r="B11" s="18">
        <f>-B6*B19</f>
        <v>-207028674.70000002</v>
      </c>
      <c r="C11" s="18">
        <f>-C6*C19</f>
        <v>-230216330.10389024</v>
      </c>
      <c r="D11" s="18">
        <f>-D6*D19</f>
        <v>-253256539.91019973</v>
      </c>
      <c r="E11" s="18">
        <f>-E6*E19</f>
        <v>-275583546.7786937</v>
      </c>
      <c r="F11" s="18">
        <f>-F6*F19</f>
        <v>-296593764.2629985</v>
      </c>
      <c r="G11" s="18">
        <f>-G6*G19</f>
        <v>-315670320.0690109</v>
      </c>
      <c r="H11" s="18">
        <f>-H6*H19</f>
        <v>-332211137.49949193</v>
      </c>
      <c r="I11" s="18">
        <f>-I6*I19</f>
        <v>-345658942.70516217</v>
      </c>
      <c r="J11" s="18">
        <f>-J6*J19</f>
        <v>-355531244.3267716</v>
      </c>
      <c r="K11" s="18">
        <f>-K6*K19</f>
        <v>-361448139.1972502</v>
      </c>
    </row>
    <row r="12" spans="1:11" x14ac:dyDescent="0.25">
      <c r="A12" t="s">
        <v>55</v>
      </c>
      <c r="B12" s="18">
        <f>-(B6-Assumptions!B29)*Assumptions!B11</f>
        <v>-692549959.523755</v>
      </c>
      <c r="C12" s="18">
        <f>-(C6-B6)*Assumptions!B11</f>
        <v>-465186990.70833355</v>
      </c>
      <c r="D12" s="18">
        <f>-(D6-C6)*Assumptions!B11</f>
        <v>-469628883.3181076</v>
      </c>
      <c r="E12" s="18">
        <f>-(E6-D6)*Assumptions!B11</f>
        <v>-463384646.2233241</v>
      </c>
      <c r="F12" s="18">
        <f>-(F6-E6)*Assumptions!B11</f>
        <v>-445389558.5956169</v>
      </c>
      <c r="G12" s="18">
        <f>-(G6-F6)*Assumptions!B11</f>
        <v>-415012086.6272168</v>
      </c>
      <c r="H12" s="18">
        <f>-(H6-G6)*Assumptions!B11</f>
        <v>-372143843.1132438</v>
      </c>
      <c r="I12" s="18">
        <f>-(I6-H6)*Assumptions!B11</f>
        <v>-317262892.7275299</v>
      </c>
      <c r="J12" s="18">
        <f>-(J6-I6)*Assumptions!B11</f>
        <v>-251461894.67280445</v>
      </c>
      <c r="K12" s="18">
        <f>-(K6-J6)*Assumptions!B11</f>
        <v>-176434909.28520393</v>
      </c>
    </row>
    <row r="13" spans="1:11" x14ac:dyDescent="0.25">
      <c r="A13" s="19" t="s">
        <v>56</v>
      </c>
      <c r="B13" s="20">
        <f>B9+B10+B11+B12</f>
        <v>553356490.9266304</v>
      </c>
      <c r="C13" s="20">
        <f>C9+C10+C11+C12</f>
        <v>932726090.839973</v>
      </c>
      <c r="D13" s="20">
        <f>D9+D10+D11+D12</f>
        <v>1082111138.1442144</v>
      </c>
      <c r="E13" s="20">
        <f>E9+E10+E11+E12</f>
        <v>1240543873.08695</v>
      </c>
      <c r="F13" s="20">
        <f>F9+F10+F11+F12</f>
        <v>1405267109.7197099</v>
      </c>
      <c r="G13" s="20">
        <f>G9+G10+G11+G12</f>
        <v>1572865918.6833813</v>
      </c>
      <c r="H13" s="20">
        <f>H9+H10+H11+H12</f>
        <v>1739346608.6640248</v>
      </c>
      <c r="I13" s="20">
        <f>I9+I10+I11+I12</f>
        <v>1900264277.7776923</v>
      </c>
      <c r="J13" s="20">
        <f>J9+J10+J11+J12</f>
        <v>2050896154.0063443</v>
      </c>
      <c r="K13" s="20">
        <f>K9+K10+K11+K12</f>
        <v>2186453476.848614</v>
      </c>
    </row>
    <row r="14" spans="1:11" x14ac:dyDescent="0.25">
      <c r="A14" t="s">
        <v>57</v>
      </c>
      <c r="B14" s="21">
        <f>1/(1+Assumptions!$B$26)^(1-0.5*Assumptions!$B$32)</f>
        <v>0.9576179311925179</v>
      </c>
      <c r="C14" s="21">
        <f>1/(1+Assumptions!$B$26)^(2-0.5*Assumptions!$B$32)</f>
        <v>0.87816638448981</v>
      </c>
      <c r="D14" s="21">
        <f>1/(1+Assumptions!$B$26)^(3-0.5*Assumptions!$B$32)</f>
        <v>0.805306765598637</v>
      </c>
      <c r="E14" s="21">
        <f>1/(1+Assumptions!$B$26)^(4-0.5*Assumptions!$B$32)</f>
        <v>0.7384921561256405</v>
      </c>
      <c r="F14" s="21">
        <f>1/(1+Assumptions!$B$26)^(5-0.5*Assumptions!$B$32)</f>
        <v>0.6772210143468592</v>
      </c>
      <c r="G14" s="21">
        <f>1/(1+Assumptions!$B$26)^(6-0.5*Assumptions!$B$32)</f>
        <v>0.6210334104008575</v>
      </c>
      <c r="H14" s="21">
        <f>1/(1+Assumptions!$B$26)^(7-0.5*Assumptions!$B$32)</f>
        <v>0.5695075738399648</v>
      </c>
      <c r="I14" s="21">
        <f>1/(1+Assumptions!$B$26)^(8-0.5*Assumptions!$B$32)</f>
        <v>0.5222567276239333</v>
      </c>
      <c r="J14" s="21">
        <f>1/(1+Assumptions!$B$26)^(9-0.5*Assumptions!$B$32)</f>
        <v>0.4789261847904841</v>
      </c>
      <c r="K14" s="21">
        <f>1/(1+Assumptions!$B$26)^(10-0.5*Assumptions!$B$32)</f>
        <v>0.43919068600899647</v>
      </c>
    </row>
    <row r="15" spans="1:11" x14ac:dyDescent="0.25">
      <c r="A15" s="19" t="s">
        <v>58</v>
      </c>
      <c r="B15" s="20">
        <f>B13*B14</f>
        <v>529904098.0531111</v>
      </c>
      <c r="C15" s="20">
        <f>C13*C14</f>
        <v>819088698.9122531</v>
      </c>
      <c r="D15" s="20">
        <f>D13*D14</f>
        <v>871431420.6771772</v>
      </c>
      <c r="E15" s="20">
        <f>E13*E14</f>
        <v>916131919.6044346</v>
      </c>
      <c r="F15" s="20">
        <f>F13*F14</f>
        <v>951676417.472661</v>
      </c>
      <c r="G15" s="20">
        <f>G13*G14</f>
        <v>976802285.5832181</v>
      </c>
      <c r="H15" s="20">
        <f>H13*H14</f>
        <v>990571067.1670194</v>
      </c>
      <c r="I15" s="20">
        <f>I13*I14</f>
        <v>992425803.3328345</v>
      </c>
      <c r="J15" s="20">
        <f>J13*J14</f>
        <v>982227870.4397357</v>
      </c>
      <c r="K15" s="20">
        <f>K13*K14</f>
        <v>960270002.4238983</v>
      </c>
    </row>
    <row r="17" spans="1:2" x14ac:dyDescent="0.25">
      <c r="A17" s="22" t="s">
        <v>59</v>
      </c>
      <c r="B17" s="23">
        <f>SUM(B15:K15)</f>
        <v>8990529583.666342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0.009923455485004055</v>
      </c>
      <c r="D19" s="9">
        <f>Assumptions!$B$10+($B$20-Assumptions!$B$10)*2/9</f>
        <v>0.00984691097000811</v>
      </c>
      <c r="E19" s="9">
        <f>Assumptions!$B$10+($B$20-Assumptions!$B$10)*3/9</f>
        <v>0.009770366455012168</v>
      </c>
      <c r="F19" s="9">
        <f>Assumptions!$B$10+($B$20-Assumptions!$B$10)*4/9</f>
        <v>0.009693821940016223</v>
      </c>
      <c r="G19" s="9">
        <f>Assumptions!$B$10+($B$20-Assumptions!$B$10)*5/9</f>
        <v>0.009617277425020278</v>
      </c>
      <c r="H19" s="9">
        <f>Assumptions!$B$10+($B$20-Assumptions!$B$10)*6/9</f>
        <v>0.009540732910024333</v>
      </c>
      <c r="I19" s="9">
        <f>Assumptions!$B$10+($B$20-Assumptions!$B$10)*7/9</f>
        <v>0.00946418839502839</v>
      </c>
      <c r="J19" s="9">
        <f>Assumptions!$B$10+($B$20-Assumptions!$B$10)*8/9</f>
        <v>0.009387643880032446</v>
      </c>
      <c r="K19" s="9">
        <f>Assumptions!$B$10+($B$20-Assumptions!$B$10)*9/9</f>
        <v>0.0093110993650365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0.0093110993650365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2186453476.848614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2519462482.357814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0.08088559292664921</v>
      </c>
    </row>
    <row r="7" spans="1:2" x14ac:dyDescent="0.25">
      <c r="A7" t="s">
        <v>66</v>
      </c>
      <c r="B7" s="18">
        <f>-MAX(B5,0)*B6</f>
        <v>-203788216.74195924</v>
      </c>
    </row>
    <row r="8" spans="1:2" x14ac:dyDescent="0.25">
      <c r="A8" t="s">
        <v>67</v>
      </c>
      <c r="B8" s="18">
        <f>IF(OR(Assumptions!$B$33=0,Assumptions!B12&lt;=0),B5,MAX(B5+B7,0))</f>
        <v>2315674265.6158547</v>
      </c>
    </row>
    <row r="9" spans="1:2" x14ac:dyDescent="0.25">
      <c r="A9" t="s">
        <v>68</v>
      </c>
      <c r="B9" s="18">
        <f>B8*(1+Assumptions!B12)/(Assumptions!B26-Assumptions!B12)</f>
        <v>36251838307.883835</v>
      </c>
    </row>
    <row r="10" spans="1:2" x14ac:dyDescent="0.25">
      <c r="A10" t="s">
        <v>69</v>
      </c>
      <c r="B10" s="18">
        <f>B9/(1+Assumptions!B26)^(10-0.5*Assumptions!B32)</f>
        <v>15921469735.52672</v>
      </c>
    </row>
    <row r="11" spans="1:2" x14ac:dyDescent="0.25">
      <c r="A11" t="s">
        <v>70</v>
      </c>
      <c r="B11" s="18">
        <f>Forecast!B17+B10</f>
        <v>24911999319.19306</v>
      </c>
    </row>
    <row r="12" spans="1:2" x14ac:dyDescent="0.25">
      <c r="A12" t="s">
        <v>71</v>
      </c>
      <c r="B12" s="18">
        <f>-Assumptions!B30</f>
        <v>643759000</v>
      </c>
    </row>
    <row r="13" spans="1:2" x14ac:dyDescent="0.25">
      <c r="A13" t="s">
        <v>72</v>
      </c>
      <c r="B13" s="18">
        <f>B11+B12</f>
        <v>25555758319.19306</v>
      </c>
    </row>
    <row r="14" spans="1:2" x14ac:dyDescent="0.25">
      <c r="A14" s="19" t="s">
        <v>73</v>
      </c>
      <c r="B14" s="24">
        <f>B13/Assumptions!B31</f>
        <v>566.0720820003581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3346852938.0980935</v>
      </c>
    </row>
    <row r="18" spans="1:2" x14ac:dyDescent="0.25">
      <c r="A18" t="s">
        <v>68</v>
      </c>
      <c r="B18" s="18">
        <f>B17*Assumptions!B13</f>
        <v>55511858606.394775</v>
      </c>
    </row>
    <row r="19" spans="1:2" x14ac:dyDescent="0.25">
      <c r="A19" t="s">
        <v>69</v>
      </c>
      <c r="B19" s="18">
        <f>B18/(1+Assumptions!B26)^(10-0.5*Assumptions!B32)</f>
        <v>24380291262.976936</v>
      </c>
    </row>
    <row r="20" spans="1:2" x14ac:dyDescent="0.25">
      <c r="A20" t="s">
        <v>70</v>
      </c>
      <c r="B20" s="18">
        <f>Forecast!B17+B19</f>
        <v>33370820846.64328</v>
      </c>
    </row>
    <row r="21" spans="1:2" x14ac:dyDescent="0.25">
      <c r="A21" t="s">
        <v>71</v>
      </c>
      <c r="B21" s="18">
        <f>-Assumptions!B30</f>
        <v>643759000</v>
      </c>
    </row>
    <row r="22" spans="1:2" x14ac:dyDescent="0.25">
      <c r="A22" t="s">
        <v>72</v>
      </c>
      <c r="B22" s="18">
        <f>B20+B21</f>
        <v>34014579846.64328</v>
      </c>
    </row>
    <row r="23" spans="1:2" x14ac:dyDescent="0.25">
      <c r="A23" s="19" t="s">
        <v>73</v>
      </c>
      <c r="B23" s="25">
        <f>B22/Assumptions!B31</f>
        <v>753.438962431257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679.55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566.0720820003581</v>
      </c>
    </row>
    <row r="29" spans="1:2" x14ac:dyDescent="0.25">
      <c r="A29" s="19" t="s">
        <v>81</v>
      </c>
      <c r="B29" s="11">
        <f>B28/B26-1</f>
        <v>-0.16698979913125134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0.070474</v>
      </c>
      <c r="B5" s="31">
        <v>748.0900733342371</v>
      </c>
      <c r="C5" s="31">
        <v>789.1688789364376</v>
      </c>
      <c r="D5" s="31">
        <v>839.7308493264811</v>
      </c>
      <c r="E5" s="31">
        <v>903.2905240067059</v>
      </c>
      <c r="F5" s="31">
        <v>985.3439159542988</v>
      </c>
    </row>
    <row r="6" spans="1:6" x14ac:dyDescent="0.25">
      <c r="A6" s="30">
        <v>0.080474</v>
      </c>
      <c r="B6" s="31">
        <v>622.8060913574697</v>
      </c>
      <c r="C6" s="31">
        <v>647.8715902899607</v>
      </c>
      <c r="D6" s="31">
        <v>677.8037164261538</v>
      </c>
      <c r="E6" s="31">
        <v>714.0487472169247</v>
      </c>
      <c r="F6" s="31">
        <v>758.6890499450874</v>
      </c>
    </row>
    <row r="7" spans="1:6" x14ac:dyDescent="0.25">
      <c r="A7" s="30">
        <v>0.090474</v>
      </c>
      <c r="B7" s="31">
        <v>531.4731514137678</v>
      </c>
      <c r="C7" s="31">
        <v>547.4172917413148</v>
      </c>
      <c r="D7" s="32">
        <v>566.075532032085</v>
      </c>
      <c r="E7" s="31">
        <v>588.1210789442846</v>
      </c>
      <c r="F7" s="31">
        <v>614.4698498323754</v>
      </c>
    </row>
    <row r="8" spans="1:6" x14ac:dyDescent="0.25">
      <c r="A8" s="30">
        <v>0.100474</v>
      </c>
      <c r="B8" s="31">
        <v>462.12297442631404</v>
      </c>
      <c r="C8" s="31">
        <v>472.5289112378889</v>
      </c>
      <c r="D8" s="31">
        <v>484.5425316874563</v>
      </c>
      <c r="E8" s="31">
        <v>498.50602231998135</v>
      </c>
      <c r="F8" s="31">
        <v>514.8660956128501</v>
      </c>
    </row>
    <row r="9" spans="1:6" x14ac:dyDescent="0.25">
      <c r="A9" s="30">
        <v>0.110474</v>
      </c>
      <c r="B9" s="31">
        <v>407.8057614085932</v>
      </c>
      <c r="C9" s="31">
        <v>414.6877554224641</v>
      </c>
      <c r="D9" s="31">
        <v>422.5663402544284</v>
      </c>
      <c r="E9" s="31">
        <v>431.62727605399283</v>
      </c>
      <c r="F9" s="31">
        <v>442.1055479089227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16986422000</v>
      </c>
      <c r="C5" s="18">
        <v>14566116000</v>
      </c>
      <c r="D5" s="18">
        <v>12582873000</v>
      </c>
      <c r="E5" s="18">
        <v>11076120000</v>
      </c>
      <c r="F5" s="6" t="s">
        <v>91</v>
      </c>
    </row>
    <row r="6" spans="1:6" x14ac:dyDescent="0.25">
      <c r="A6" t="s">
        <v>51</v>
      </c>
      <c r="B6" s="18">
        <v>1568542000</v>
      </c>
      <c r="C6" s="18">
        <v>1344863000</v>
      </c>
      <c r="D6" s="18">
        <v>878106000</v>
      </c>
      <c r="E6" s="18">
        <v>564877000</v>
      </c>
      <c r="F6" s="6" t="s">
        <v>92</v>
      </c>
    </row>
    <row r="7" spans="1:6" x14ac:dyDescent="0.25">
      <c r="A7" t="s">
        <v>93</v>
      </c>
      <c r="B7" s="18">
        <v>186420000</v>
      </c>
      <c r="C7" s="18">
        <v>133680000</v>
      </c>
      <c r="D7" s="18">
        <v>118965000</v>
      </c>
      <c r="E7" s="18">
        <v>108611000</v>
      </c>
      <c r="F7" s="6" t="s">
        <v>94</v>
      </c>
    </row>
    <row r="8" spans="1:6" x14ac:dyDescent="0.25">
      <c r="A8" t="s">
        <v>95</v>
      </c>
      <c r="B8" s="18">
        <v>112750000</v>
      </c>
      <c r="C8" s="18">
        <v>74950000</v>
      </c>
      <c r="D8" s="18">
        <v>78404000</v>
      </c>
      <c r="E8" s="18">
        <v>49289000</v>
      </c>
      <c r="F8" s="6" t="s">
        <v>96</v>
      </c>
    </row>
    <row r="9" spans="1:6" x14ac:dyDescent="0.25">
      <c r="A9" t="s">
        <v>97</v>
      </c>
      <c r="B9" s="18">
        <v>17751000</v>
      </c>
      <c r="C9" s="18">
        <v>-252723000</v>
      </c>
      <c r="D9" s="18">
        <v>-141853000</v>
      </c>
      <c r="E9" s="18">
        <v>39106000</v>
      </c>
      <c r="F9" s="6" t="s">
        <v>98</v>
      </c>
    </row>
    <row r="10" spans="1:6" x14ac:dyDescent="0.25">
      <c r="A10" t="s">
        <v>99</v>
      </c>
      <c r="B10" s="18">
        <v>468209000</v>
      </c>
      <c r="C10" s="18">
        <v>342822000</v>
      </c>
      <c r="D10" s="18">
        <v>339969000</v>
      </c>
      <c r="E10" s="18">
        <v>535174000</v>
      </c>
      <c r="F10" s="6" t="s">
        <v>100</v>
      </c>
    </row>
    <row r="11" spans="1:6" x14ac:dyDescent="0.25">
      <c r="A11" t="s">
        <v>101</v>
      </c>
      <c r="B11" s="18">
        <v>1111968000</v>
      </c>
      <c r="C11" s="18">
        <v>1339550000</v>
      </c>
      <c r="D11" s="18">
        <v>789750000</v>
      </c>
      <c r="E11" s="18">
        <v>456439000</v>
      </c>
      <c r="F11" s="6" t="s">
        <v>102</v>
      </c>
    </row>
    <row r="12" spans="1:6" x14ac:dyDescent="0.25">
      <c r="A12" t="s">
        <v>34</v>
      </c>
      <c r="B12" s="34">
        <v>45145767</v>
      </c>
      <c r="C12" s="34">
        <v>46808293</v>
      </c>
      <c r="D12" s="34">
        <v>47564258</v>
      </c>
      <c r="E12" s="34">
        <v>50136262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