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<sst xmlns="http://schemas.openxmlformats.org/spreadsheetml/2006/main" count="111" uniqueCount="99">
  <si>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Emerson Electric Co. (EMR)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</si>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</sst>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0.09282630664203761</v>
      </c>
    </row>
    <row r="7" spans="1:2" x14ac:dyDescent="0.25">
      <c r="A7" t="s">
        <v>5</v>
      </c>
      <c r="B7" s="6">
        <v>0.17526693397023582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0.07777949883208814</v>
      </c>
    </row>
    <row r="10" spans="1:2" x14ac:dyDescent="0.25">
      <c r="A10" t="s">
        <v>8</v>
      </c>
      <c r="B10" s="6">
        <v>0.02336851787110859</v>
      </c>
    </row>
    <row r="11" spans="1:2" x14ac:dyDescent="0.25">
      <c r="A11" t="s">
        <v>9</v>
      </c>
      <c r="B11" s="6">
        <v>0.06489041684572411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18.978292632079206</v>
      </c>
    </row>
    <row r="14" spans="1:3" x14ac:dyDescent="0.25">
      <c r="A14" t="s">
        <v>12</v>
      </c>
      <c r="B14" s="6">
        <v>0.10309935916867312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1.15611</v>
      </c>
      <c r="C19" s="8" t="s">
        <v>19</v>
      </c>
    </row>
    <row r="20" spans="1:2" x14ac:dyDescent="0.25">
      <c r="A20" t="s">
        <v>20</v>
      </c>
      <c r="B20" s="10">
        <f>B17+B19*B18</f>
        <v>0.11356605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83625377792</v>
      </c>
    </row>
    <row r="23" spans="1:2" x14ac:dyDescent="0.25">
      <c r="A23" t="s">
        <v>24</v>
      </c>
      <c r="B23" s="11">
        <v>13759000000</v>
      </c>
    </row>
    <row r="24" spans="1:2" x14ac:dyDescent="0.25">
      <c r="A24" t="s">
        <v>25</v>
      </c>
      <c r="B24" s="10">
        <f>B22/(B22+B23)</f>
        <v>0.8587145052219014</v>
      </c>
    </row>
    <row r="25" spans="1:2" x14ac:dyDescent="0.25">
      <c r="A25" t="s">
        <v>26</v>
      </c>
      <c r="B25" s="10">
        <f>1-B24</f>
        <v>0.1412854947780986</v>
      </c>
    </row>
    <row r="26" spans="1:2" x14ac:dyDescent="0.25">
      <c r="A26" t="s">
        <v>27</v>
      </c>
      <c r="B26" s="12">
        <f>B24*B20+B25*B21*(1-B8)</f>
        <v>0.10309935916867312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18016000000</v>
      </c>
      <c r="C29" s="8" t="s">
        <v>30</v>
      </c>
    </row>
    <row r="30" spans="1:2" x14ac:dyDescent="0.25">
      <c r="A30" t="s">
        <v>31</v>
      </c>
      <c r="B30" s="11">
        <v>12215000000</v>
      </c>
    </row>
    <row r="31" spans="1:2" x14ac:dyDescent="0.25">
      <c r="A31" t="s">
        <v>32</v>
      </c>
      <c r="B31" s="13">
        <v>566700000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0.09282630664203761</v>
      </c>
      <c r="C5" s="10">
        <f>Assumptions!B6</f>
        <v>0.09282630664203761</v>
      </c>
      <c r="D5" s="10">
        <f>Assumptions!B6</f>
        <v>0.09282630664203761</v>
      </c>
      <c r="E5" s="10">
        <f>Assumptions!B6</f>
        <v>0.09282630664203761</v>
      </c>
      <c r="F5" s="10">
        <f>Assumptions!B6</f>
        <v>0.09282630664203761</v>
      </c>
    </row>
    <row r="6" spans="1:6" x14ac:dyDescent="0.25">
      <c r="A6" t="s">
        <v>43</v>
      </c>
      <c r="B6" s="18">
        <f>Assumptions!B29*(1+B5)</f>
        <v>19688358740.462948</v>
      </c>
      <c r="C6" s="18">
        <f>B6*(1+C5)</f>
        <v>21515956366.1836</v>
      </c>
      <c r="D6" s="18">
        <f>C6*(1+D5)</f>
        <v>23513203129.52766</v>
      </c>
      <c r="E6" s="18">
        <f>D6*(1+E5)</f>
        <v>25695846933.365715</v>
      </c>
      <c r="F6" s="18">
        <f>E6*(1+F5)</f>
        <v>28081097500.229183</v>
      </c>
    </row>
    <row r="7" spans="1:6" x14ac:dyDescent="0.25">
      <c r="A7" t="s">
        <v>5</v>
      </c>
      <c r="B7" s="10">
        <f>Assumptions!B7</f>
        <v>0.17526693397023582</v>
      </c>
      <c r="C7" s="10">
        <f>Assumptions!B7</f>
        <v>0.17526693397023582</v>
      </c>
      <c r="D7" s="10">
        <f>Assumptions!B7</f>
        <v>0.17526693397023582</v>
      </c>
      <c r="E7" s="10">
        <f>Assumptions!B7</f>
        <v>0.17526693397023582</v>
      </c>
      <c r="F7" s="10">
        <f>Assumptions!B7</f>
        <v>0.17526693397023582</v>
      </c>
    </row>
    <row r="8" spans="1:6" x14ac:dyDescent="0.25">
      <c r="A8" t="s">
        <v>44</v>
      </c>
      <c r="B8" s="18">
        <f>B6*B7</f>
        <v>3450718271.347035</v>
      </c>
      <c r="C8" s="18">
        <f>C6*C7</f>
        <v>3771035703.738376</v>
      </c>
      <c r="D8" s="18">
        <f>D6*D7</f>
        <v>4121087020.331667</v>
      </c>
      <c r="E8" s="18">
        <f>E6*E7</f>
        <v>4503632307.779495</v>
      </c>
      <c r="F8" s="18">
        <f>F6*F7</f>
        <v>4921687861.384422</v>
      </c>
    </row>
    <row r="9" spans="1:6" x14ac:dyDescent="0.25">
      <c r="A9" t="s">
        <v>45</v>
      </c>
      <c r="B9" s="18">
        <f>B8*(1-Assumptions!B8)</f>
        <v>2726067434.3641577</v>
      </c>
      <c r="C9" s="18">
        <f>C8*(1-Assumptions!B8)</f>
        <v>2979118205.953317</v>
      </c>
      <c r="D9" s="18">
        <f>D8*(1-Assumptions!B8)</f>
        <v>3255658746.062017</v>
      </c>
      <c r="E9" s="18">
        <f>E8*(1-Assumptions!B8)</f>
        <v>3557869523.1458015</v>
      </c>
      <c r="F9" s="18">
        <f>F8*(1-Assumptions!B8)</f>
        <v>3888133410.493694</v>
      </c>
    </row>
    <row r="10" spans="1:6" x14ac:dyDescent="0.25">
      <c r="A10" t="s">
        <v>46</v>
      </c>
      <c r="B10" s="18">
        <f>B6*Assumptions!B9</f>
        <v>1531350675.6595702</v>
      </c>
      <c r="C10" s="18">
        <f>C6*Assumptions!B9</f>
        <v>1673500303.0548368</v>
      </c>
      <c r="D10" s="18">
        <f>D6*Assumptions!B9</f>
        <v>1828845155.3517478</v>
      </c>
      <c r="E10" s="18">
        <f>E6*Assumptions!B9</f>
        <v>1998610096.543234</v>
      </c>
      <c r="F10" s="18">
        <f>F6*Assumptions!B9</f>
        <v>2184133690.222829</v>
      </c>
    </row>
    <row r="11" spans="1:6" x14ac:dyDescent="0.25">
      <c r="A11" t="s">
        <v>47</v>
      </c>
      <c r="B11" s="18">
        <f>-B6*Assumptions!B10</f>
        <v>-460087763.0793054</v>
      </c>
      <c r="C11" s="18">
        <f>-C6*Assumptions!B10</f>
        <v>-502796010.85715413</v>
      </c>
      <c r="D11" s="18">
        <f>-D6*Assumptions!B10</f>
        <v>-549468707.5393735</v>
      </c>
      <c r="E11" s="18">
        <f>-E6*Assumptions!B10</f>
        <v>-600473858.2756276</v>
      </c>
      <c r="F11" s="18">
        <f>-F6*Assumptions!B10</f>
        <v>-656213628.7744484</v>
      </c>
    </row>
    <row r="12" spans="1:6" x14ac:dyDescent="0.25">
      <c r="A12" t="s">
        <v>48</v>
      </c>
      <c r="B12" s="18">
        <f>-(B6-Assumptions!B29)*Assumptions!B11</f>
        <v>-108520055.78423083</v>
      </c>
      <c r="C12" s="18">
        <f>-(C6-B6)*Assumptions!B11</f>
        <v>-118593571.75926888</v>
      </c>
      <c r="D12" s="18">
        <f>-(D6-C6)*Assumptions!B11</f>
        <v>-129602175.01716928</v>
      </c>
      <c r="E12" s="18">
        <f>-(E6-D6)*Assumptions!B11</f>
        <v>-141632666.25678825</v>
      </c>
      <c r="F12" s="18">
        <f>-(F6-E6)*Assumptions!B11</f>
        <v>-154779903.5652702</v>
      </c>
    </row>
    <row r="13" spans="1:6" x14ac:dyDescent="0.25">
      <c r="A13" s="19" t="s">
        <v>49</v>
      </c>
      <c r="B13" s="20">
        <f>B9+B10+B11+B12</f>
        <v>3688810291.160192</v>
      </c>
      <c r="C13" s="20">
        <f>C9+C10+C11+C12</f>
        <v>4031228926.3917313</v>
      </c>
      <c r="D13" s="20">
        <f>D9+D10+D11+D12</f>
        <v>4405433018.857223</v>
      </c>
      <c r="E13" s="20">
        <f>E9+E10+E11+E12</f>
        <v>4814373095.15662</v>
      </c>
      <c r="F13" s="20">
        <f>F9+F10+F11+F12</f>
        <v>5261273568.376803</v>
      </c>
    </row>
    <row r="14" spans="1:6" x14ac:dyDescent="0.25">
      <c r="A14" t="s">
        <v>50</v>
      </c>
      <c r="B14" s="21">
        <f>1/(1+Assumptions!$B$26)^(1-0.5*Assumptions!$B$32)</f>
        <v>0.9521221833908999</v>
      </c>
      <c r="C14" s="21">
        <f>1/(1+Assumptions!$B$26)^(2-0.5*Assumptions!$B$32)</f>
        <v>0.8631336565261412</v>
      </c>
      <c r="D14" s="21">
        <f>1/(1+Assumptions!$B$26)^(3-0.5*Assumptions!$B$32)</f>
        <v>0.7824622953064022</v>
      </c>
      <c r="E14" s="21">
        <f>1/(1+Assumptions!$B$26)^(4-0.5*Assumptions!$B$32)</f>
        <v>0.7093307495855024</v>
      </c>
      <c r="F14" s="21">
        <f>1/(1+Assumptions!$B$26)^(5-0.5*Assumptions!$B$32)</f>
        <v>0.6430343229644101</v>
      </c>
    </row>
    <row r="15" spans="1:6" x14ac:dyDescent="0.25">
      <c r="A15" s="19" t="s">
        <v>51</v>
      </c>
      <c r="B15" s="20">
        <f>B13*B14</f>
        <v>3512198108.534263</v>
      </c>
      <c r="C15" s="20">
        <f>C13*C14</f>
        <v>3479489363.5304456</v>
      </c>
      <c r="D15" s="20">
        <f>D13*D14</f>
        <v>3447085231.753635</v>
      </c>
      <c r="E15" s="20">
        <f>E13*E14</f>
        <v>3414982876.3717203</v>
      </c>
      <c r="F15" s="20">
        <f>F13*F14</f>
        <v>3383179486.9717236</v>
      </c>
    </row>
    <row r="17" spans="1:2" x14ac:dyDescent="0.25">
      <c r="A17" s="22" t="s">
        <v>52</v>
      </c>
      <c r="B17" s="23">
        <f>SUM(B15:F15)</f>
        <v>17236935067.16179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5261273568.376803</v>
      </c>
    </row>
    <row r="5" spans="1:2" x14ac:dyDescent="0.25">
      <c r="A5" t="s">
        <v>56</v>
      </c>
      <c r="B5" s="18">
        <f>IF(Assumptions!$B$33=0,B4,B4-Forecast!F11-Forecast!F10-Forecast!F12)</f>
        <v>5174981066.973017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0.24248453338201045</v>
      </c>
    </row>
    <row r="7" spans="1:2" x14ac:dyDescent="0.25">
      <c r="A7" t="s">
        <v>58</v>
      </c>
      <c r="B7" s="18">
        <f>-MAX(Forecast!F9,0)*B6</f>
        <v>-1254852869.2856905</v>
      </c>
    </row>
    <row r="8" spans="1:2" x14ac:dyDescent="0.25">
      <c r="A8" t="s">
        <v>59</v>
      </c>
      <c r="B8" s="18">
        <f>IF(OR(Assumptions!$B$33=0,Assumptions!B12&lt;=0),B5,MAX(B5+B7,0))</f>
        <v>3920128197.6873264</v>
      </c>
    </row>
    <row r="9" spans="1:2" x14ac:dyDescent="0.25">
      <c r="A9" t="s">
        <v>60</v>
      </c>
      <c r="B9" s="18">
        <f>B8*(1+Assumptions!B12)/(Assumptions!B26-Assumptions!B12)</f>
        <v>51448967640.71331</v>
      </c>
    </row>
    <row r="10" spans="1:2" x14ac:dyDescent="0.25">
      <c r="A10" t="s">
        <v>61</v>
      </c>
      <c r="B10" s="18">
        <f>B9/(1+Assumptions!B26)^(5-0.5*Assumptions!B32)</f>
        <v>33083452074.063927</v>
      </c>
    </row>
    <row r="11" spans="1:2" x14ac:dyDescent="0.25">
      <c r="A11" t="s">
        <v>62</v>
      </c>
      <c r="B11" s="18">
        <f>Forecast!B17+B10</f>
        <v>50320387141.225716</v>
      </c>
    </row>
    <row r="12" spans="1:2" x14ac:dyDescent="0.25">
      <c r="A12" t="s">
        <v>63</v>
      </c>
      <c r="B12" s="18">
        <f>-Assumptions!B30</f>
        <v>-12215000000</v>
      </c>
    </row>
    <row r="13" spans="1:2" x14ac:dyDescent="0.25">
      <c r="A13" t="s">
        <v>64</v>
      </c>
      <c r="B13" s="18">
        <f>B11+B12</f>
        <v>38105387141.225716</v>
      </c>
    </row>
    <row r="14" spans="1:2" x14ac:dyDescent="0.25">
      <c r="A14" s="19" t="s">
        <v>65</v>
      </c>
      <c r="B14" s="24">
        <f>B13/Assumptions!B31</f>
        <v>67.24084549360458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7105821551.607251</v>
      </c>
    </row>
    <row r="18" spans="1:2" x14ac:dyDescent="0.25">
      <c r="A18" t="s">
        <v>60</v>
      </c>
      <c r="B18" s="18">
        <f>B17*Assumptions!B13</f>
        <v>134856360797.73753</v>
      </c>
    </row>
    <row r="19" spans="1:2" x14ac:dyDescent="0.25">
      <c r="A19" t="s">
        <v>61</v>
      </c>
      <c r="B19" s="18">
        <f>B18/(1+Assumptions!B26)^(5-0.5*Assumptions!B32)</f>
        <v>86717268663.01736</v>
      </c>
    </row>
    <row r="20" spans="1:2" x14ac:dyDescent="0.25">
      <c r="A20" t="s">
        <v>62</v>
      </c>
      <c r="B20" s="18">
        <f>Forecast!B17+B19</f>
        <v>103954203730.17915</v>
      </c>
    </row>
    <row r="21" spans="1:2" x14ac:dyDescent="0.25">
      <c r="A21" t="s">
        <v>63</v>
      </c>
      <c r="B21" s="18">
        <f>-Assumptions!B30</f>
        <v>-12215000000</v>
      </c>
    </row>
    <row r="22" spans="1:2" x14ac:dyDescent="0.25">
      <c r="A22" t="s">
        <v>64</v>
      </c>
      <c r="B22" s="18">
        <f>B20+B21</f>
        <v>91739203730.17915</v>
      </c>
    </row>
    <row r="23" spans="1:2" x14ac:dyDescent="0.25">
      <c r="A23" s="19" t="s">
        <v>65</v>
      </c>
      <c r="B23" s="25">
        <f>B22/Assumptions!B31</f>
        <v>161.88318992443826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149.92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67.24084549360458</v>
      </c>
    </row>
    <row r="29" spans="1:2" x14ac:dyDescent="0.25">
      <c r="A29" s="19" t="s">
        <v>73</v>
      </c>
      <c r="B29" s="12">
        <f>B28/B26-1</f>
        <v>-0.5514884905709405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0.083099</v>
      </c>
      <c r="B5" s="31">
        <v>88.16391403220311</v>
      </c>
      <c r="C5" s="31">
        <v>88.54755330798054</v>
      </c>
      <c r="D5" s="31">
        <v>88.93119258375793</v>
      </c>
      <c r="E5" s="31">
        <v>89.31483185953536</v>
      </c>
      <c r="F5" s="31">
        <v>89.69847113531277</v>
      </c>
    </row>
    <row r="6" spans="1:6" x14ac:dyDescent="0.25">
      <c r="A6" s="30">
        <v>0.093099</v>
      </c>
      <c r="B6" s="31">
        <v>76.2568355528971</v>
      </c>
      <c r="C6" s="31">
        <v>76.58539412641794</v>
      </c>
      <c r="D6" s="31">
        <v>76.91395269993875</v>
      </c>
      <c r="E6" s="31">
        <v>77.24251127345958</v>
      </c>
      <c r="F6" s="31">
        <v>77.5710698469804</v>
      </c>
    </row>
    <row r="7" spans="1:6" x14ac:dyDescent="0.25">
      <c r="A7" s="30">
        <v>0.103099</v>
      </c>
      <c r="B7" s="31">
        <v>66.67160369037542</v>
      </c>
      <c r="C7" s="31">
        <v>66.95638133589502</v>
      </c>
      <c r="D7" s="32">
        <v>67.24115898141459</v>
      </c>
      <c r="E7" s="31">
        <v>67.52593662693418</v>
      </c>
      <c r="F7" s="31">
        <v>67.81071427245378</v>
      </c>
    </row>
    <row r="8" spans="1:6" x14ac:dyDescent="0.25">
      <c r="A8" s="30">
        <v>0.113099</v>
      </c>
      <c r="B8" s="31">
        <v>58.79182977948858</v>
      </c>
      <c r="C8" s="31">
        <v>59.04109674416004</v>
      </c>
      <c r="D8" s="31">
        <v>59.290363708831464</v>
      </c>
      <c r="E8" s="31">
        <v>59.53963067350293</v>
      </c>
      <c r="F8" s="31">
        <v>59.78889763817437</v>
      </c>
    </row>
    <row r="9" spans="1:6" x14ac:dyDescent="0.25">
      <c r="A9" s="30">
        <v>0.123099</v>
      </c>
      <c r="B9" s="31">
        <v>52.2014406042408</v>
      </c>
      <c r="C9" s="31">
        <v>52.421423973552876</v>
      </c>
      <c r="D9" s="31">
        <v>52.64140734286495</v>
      </c>
      <c r="E9" s="31">
        <v>52.86139071217703</v>
      </c>
      <c r="F9" s="31">
        <v>53.0813740814891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18016000000</v>
      </c>
      <c r="C5" s="18">
        <v>17492000000</v>
      </c>
      <c r="D5" s="18">
        <v>15165000000</v>
      </c>
      <c r="E5" s="18">
        <v>13804000000</v>
      </c>
      <c r="F5" s="8" t="s">
        <v>84</v>
      </c>
    </row>
    <row r="6" spans="1:6" x14ac:dyDescent="0.25">
      <c r="A6" t="s">
        <v>44</v>
      </c>
      <c r="B6" s="18">
        <v>3532000000</v>
      </c>
      <c r="C6" s="18">
        <v>2666000000</v>
      </c>
      <c r="D6" s="18">
        <v>2759000000</v>
      </c>
      <c r="E6" s="18">
        <v>2356000000</v>
      </c>
      <c r="F6" s="8" t="s">
        <v>85</v>
      </c>
    </row>
    <row r="7" spans="1:6" x14ac:dyDescent="0.25">
      <c r="A7" t="s">
        <v>86</v>
      </c>
      <c r="B7" s="18">
        <v>1518000000</v>
      </c>
      <c r="C7" s="18">
        <v>1689000000</v>
      </c>
      <c r="D7" s="18">
        <v>1051000000</v>
      </c>
      <c r="E7" s="18">
        <v>842000000</v>
      </c>
      <c r="F7" s="8" t="s">
        <v>87</v>
      </c>
    </row>
    <row r="8" spans="1:6" x14ac:dyDescent="0.25">
      <c r="A8" t="s">
        <v>88</v>
      </c>
      <c r="B8" s="18">
        <v>431000000</v>
      </c>
      <c r="C8" s="18">
        <v>419000000</v>
      </c>
      <c r="D8" s="18">
        <v>363000000</v>
      </c>
      <c r="E8" s="18">
        <v>299000000</v>
      </c>
      <c r="F8" s="8" t="s">
        <v>89</v>
      </c>
    </row>
    <row r="9" spans="1:6" x14ac:dyDescent="0.25">
      <c r="A9" t="s">
        <v>90</v>
      </c>
      <c r="B9" s="18">
        <v>9000000</v>
      </c>
      <c r="C9" s="18">
        <v>151000000</v>
      </c>
      <c r="D9" s="18">
        <v>148000000</v>
      </c>
      <c r="E9" s="18">
        <v>312000000</v>
      </c>
      <c r="F9" s="8" t="s">
        <v>91</v>
      </c>
    </row>
    <row r="10" spans="1:6" x14ac:dyDescent="0.25">
      <c r="A10" t="s">
        <v>92</v>
      </c>
      <c r="B10" s="18">
        <v>13759000000</v>
      </c>
      <c r="C10" s="18">
        <v>8356000000</v>
      </c>
      <c r="D10" s="18">
        <v>8561000000</v>
      </c>
      <c r="E10" s="18">
        <v>10686000000</v>
      </c>
      <c r="F10" s="8" t="s">
        <v>93</v>
      </c>
    </row>
    <row r="11" spans="1:6" x14ac:dyDescent="0.25">
      <c r="A11" t="s">
        <v>94</v>
      </c>
      <c r="B11" s="18">
        <v>1544000000</v>
      </c>
      <c r="C11" s="18">
        <v>3588000000</v>
      </c>
      <c r="D11" s="18">
        <v>8051000000</v>
      </c>
      <c r="E11" s="18">
        <v>1804000000</v>
      </c>
      <c r="F11" s="8" t="s">
        <v>95</v>
      </c>
    </row>
    <row r="12" spans="1:6" x14ac:dyDescent="0.25">
      <c r="A12" t="s">
        <v>32</v>
      </c>
      <c r="B12" s="34">
        <v>566700000</v>
      </c>
      <c r="C12" s="34">
        <v>574000000</v>
      </c>
      <c r="D12" s="34">
        <v>577300000</v>
      </c>
      <c r="E12" s="34">
        <v>596300000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