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<sst xmlns="http://schemas.openxmlformats.org/spreadsheetml/2006/main" count="120" uniqueCount="107">
  <si>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Emerson Electric Co. (EMR)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</si>
  <si>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</si>
  <si>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</si>
  <si>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</si>
  <si>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</si>
  <si>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</si>
  <si>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</si>
  <si>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</si>
  <si>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</si>
  <si>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</si>
  <si>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</si>
  <si>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</si>
  <si>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</si>
  <si>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</si>
  <si>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</si>
  <si>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</si>
  <si>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</si>
  <si>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</si>
  <si>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</si>
  <si>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</si>
  <si>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</si>
  <si>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</si>
  <si>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</si>
  <si>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</si>
  <si>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9.1x interest cover. Book interest / average debt was lower, at 3.5%.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</si>
  <si>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</si>
  <si>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</si>
  <si>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</si>
  <si>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</si>
  <si>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</si>
  <si>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</si>
  <si>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</si>
  <si>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</si>
  <si>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</si>
  <si>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</si>
  <si>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</si>
  <si>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</si>
  <si>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</si>
  <si>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</si>
  <si>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</si>
  <si>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</si>
  <si>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</si>
  <si>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</si>
  <si>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</si>
  <si>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</si>
  <si>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</si>
  <si>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</si>
  <si>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</si>
  <si>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</si>
  <si>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</si>
  <si>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</si>
  <si>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</si>
  <si>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</si>
  <si>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</si>
  <si>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</si>
  <si>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</si>
  <si>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</si>
  <si>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</si>
  <si>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</si>
  <si>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</si>
  <si>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</si>
  <si>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</si>
  <si>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</si>
  <si>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</si>
  <si>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</si>
  <si>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</si>
  <si>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</si>
  <si>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</si>
  <si>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</si>
  <si>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</si>
  <si>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</si>
  <si>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</si>
  <si>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</si>
  <si>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</si>
  <si>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</si>
  <si>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</si>
  <si>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</si>
  <si>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</si>
  <si>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</si>
  <si>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</si>
  <si>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</si>
  <si>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</si>
  <si>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</si>
  <si>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</si>
  <si>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</si>
  <si>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</si>
  <si>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</si>
  <si>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</si>
  <si>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</si>
  <si>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</si>
  <si>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</si>
  <si>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</si>
  <si>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</si>
  <si>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</si>
  <si>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</si>
  <si>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</si>
  <si>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</si>
  <si>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</si>
  <si>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</si>
  <si>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</si>
  <si>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</si>
  <si>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</si>
  <si>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</si>
  <si>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</si>
  <si>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</si>
  <si>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20.6x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</si>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</sst>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0.04914836367673181</v>
      </c>
    </row>
    <row r="7" spans="1:2" x14ac:dyDescent="0.25">
      <c r="A7" t="s">
        <v>4</v>
      </c>
      <c r="B7" s="5">
        <v>0.17526693397023582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0.07777949883208814</v>
      </c>
    </row>
    <row r="10" spans="1:3" x14ac:dyDescent="0.25">
      <c r="A10" t="s">
        <v>7</v>
      </c>
      <c r="B10" s="5">
        <v>0.02336851787110859</v>
      </c>
      <c r="C10" s="6" t="s">
        <v>8</v>
      </c>
    </row>
    <row r="11" spans="1:2" x14ac:dyDescent="0.25">
      <c r="A11" t="s">
        <v>9</v>
      </c>
      <c r="B11" s="5">
        <v>0.21494237976360198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0.08991450907793079</v>
      </c>
      <c r="C14" s="6" t="s">
        <v>13</v>
      </c>
    </row>
    <row r="15" spans="1:3" x14ac:dyDescent="0.25">
      <c r="A15" t="s">
        <v>14</v>
      </c>
      <c r="B15" s="5">
        <v>0.019771755931806304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1.13869</v>
      </c>
      <c r="C19" s="6" t="s">
        <v>21</v>
      </c>
    </row>
    <row r="20" spans="1:2" x14ac:dyDescent="0.25">
      <c r="A20" t="s">
        <v>22</v>
      </c>
      <c r="B20" s="9">
        <f>B17+B19*B18</f>
        <v>0.097106587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92003532800</v>
      </c>
    </row>
    <row r="23" spans="1:2" x14ac:dyDescent="0.25">
      <c r="A23" t="s">
        <v>26</v>
      </c>
      <c r="B23" s="10">
        <v>13759000000</v>
      </c>
    </row>
    <row r="24" spans="1:2" x14ac:dyDescent="0.25">
      <c r="A24" t="s">
        <v>27</v>
      </c>
      <c r="B24" s="9">
        <f>B22/(B22+B23)</f>
        <v>0.8699066707676275</v>
      </c>
    </row>
    <row r="25" spans="1:2" x14ac:dyDescent="0.25">
      <c r="A25" t="s">
        <v>28</v>
      </c>
      <c r="B25" s="9">
        <f>1-B24</f>
        <v>0.1300933292323725</v>
      </c>
    </row>
    <row r="26" spans="1:2" x14ac:dyDescent="0.25">
      <c r="A26" t="s">
        <v>29</v>
      </c>
      <c r="B26" s="11">
        <f>B24*B20+B25*B21*(1-B8)</f>
        <v>0.08991450907793079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18016000000</v>
      </c>
      <c r="C29" s="6" t="s">
        <v>32</v>
      </c>
    </row>
    <row r="30" spans="1:2" x14ac:dyDescent="0.25">
      <c r="A30" t="s">
        <v>33</v>
      </c>
      <c r="B30" s="10">
        <v>12215000000</v>
      </c>
    </row>
    <row r="31" spans="1:2" x14ac:dyDescent="0.25">
      <c r="A31" t="s">
        <v>34</v>
      </c>
      <c r="B31" s="12">
        <v>566700000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0.04914836367673181</v>
      </c>
      <c r="C5" s="5">
        <v>0.0558433979172861</v>
      </c>
      <c r="D5" s="5">
        <v>0.05198797317762534</v>
      </c>
      <c r="E5" s="5">
        <v>0.04813254843796457</v>
      </c>
      <c r="F5" s="5">
        <v>0.04427712369830381</v>
      </c>
      <c r="G5" s="5">
        <v>0.040421698958643046</v>
      </c>
      <c r="H5" s="5">
        <v>0.036566274218982286</v>
      </c>
      <c r="I5" s="5">
        <v>0.03271084947932153</v>
      </c>
      <c r="J5" s="5">
        <v>0.028855424739660764</v>
      </c>
      <c r="K5" s="5">
        <v>0.025</v>
      </c>
    </row>
    <row r="6" spans="1:11" x14ac:dyDescent="0.25">
      <c r="A6" t="s">
        <v>50</v>
      </c>
      <c r="B6" s="18">
        <f>Assumptions!B29*(1+B5)</f>
        <v>18901456920</v>
      </c>
      <c r="C6" s="18">
        <f>B6*(1+C5)</f>
        <v>19956978500</v>
      </c>
      <c r="D6" s="18">
        <f>C6*(1+D5)</f>
        <v>20994501362.964447</v>
      </c>
      <c r="E6" s="18">
        <f>D6*(1+E5)</f>
        <v>22005020216.74825</v>
      </c>
      <c r="F6" s="18">
        <f>E6*(1+F5)</f>
        <v>22979339218.868885</v>
      </c>
      <c r="G6" s="18">
        <f>F6*(1+G5)</f>
        <v>23908203151.04254</v>
      </c>
      <c r="H6" s="18">
        <f>G6*(1+H5)</f>
        <v>24782437063.5467</v>
      </c>
      <c r="I6" s="18">
        <f>H6*(1+I5)</f>
        <v>25593091632.063137</v>
      </c>
      <c r="J6" s="18">
        <f>I6*(1+J5)</f>
        <v>26331591161.507378</v>
      </c>
      <c r="K6" s="18">
        <f>J6*(1+K5)</f>
        <v>26989880940.54506</v>
      </c>
    </row>
    <row r="7" spans="1:11" x14ac:dyDescent="0.25">
      <c r="A7" t="s">
        <v>4</v>
      </c>
      <c r="B7" s="9">
        <f>Assumptions!B7</f>
        <v>0.17526693397023582</v>
      </c>
      <c r="C7" s="9">
        <f>Assumptions!B7</f>
        <v>0.17526693397023582</v>
      </c>
      <c r="D7" s="9">
        <f>Assumptions!B7</f>
        <v>0.17526693397023582</v>
      </c>
      <c r="E7" s="9">
        <f>Assumptions!B7</f>
        <v>0.17526693397023582</v>
      </c>
      <c r="F7" s="9">
        <f>Assumptions!B7</f>
        <v>0.17526693397023582</v>
      </c>
      <c r="G7" s="9">
        <f>Assumptions!B7</f>
        <v>0.17526693397023582</v>
      </c>
      <c r="H7" s="9">
        <f>Assumptions!B7</f>
        <v>0.17526693397023582</v>
      </c>
      <c r="I7" s="9">
        <f>Assumptions!B7</f>
        <v>0.17526693397023582</v>
      </c>
      <c r="J7" s="9">
        <f>Assumptions!B7</f>
        <v>0.17526693397023582</v>
      </c>
      <c r="K7" s="9">
        <f>Assumptions!B7</f>
        <v>0.17526693397023582</v>
      </c>
    </row>
    <row r="8" spans="1:11" x14ac:dyDescent="0.25">
      <c r="A8" t="s">
        <v>51</v>
      </c>
      <c r="B8" s="18">
        <f>B6*B7</f>
        <v>3312800401.938897</v>
      </c>
      <c r="C8" s="18">
        <f>C6*C7</f>
        <v>3497798433.0049157</v>
      </c>
      <c r="D8" s="18">
        <f>D6*D7</f>
        <v>3679641884.1207156</v>
      </c>
      <c r="E8" s="18">
        <f>E6*E7</f>
        <v>3856752425.3425198</v>
      </c>
      <c r="F8" s="18">
        <f>F6*F7</f>
        <v>4027518329.5531435</v>
      </c>
      <c r="G8" s="18">
        <f>G6*G7</f>
        <v>4190317463.020757</v>
      </c>
      <c r="H8" s="18">
        <f>H6*H7</f>
        <v>4343541760.438165</v>
      </c>
      <c r="I8" s="18">
        <f>I6*I7</f>
        <v>4485622701.171005</v>
      </c>
      <c r="J8" s="18">
        <f>J6*J7</f>
        <v>4615057249.435159</v>
      </c>
      <c r="K8" s="18">
        <f>K6*K7</f>
        <v>4730433680.671037</v>
      </c>
    </row>
    <row r="9" spans="1:11" x14ac:dyDescent="0.25">
      <c r="A9" t="s">
        <v>52</v>
      </c>
      <c r="B9" s="18">
        <f>B8*(1-Assumptions!B8)</f>
        <v>2617112317.5317287</v>
      </c>
      <c r="C9" s="18">
        <f>C8*(1-Assumptions!B8)</f>
        <v>2763260762.0738835</v>
      </c>
      <c r="D9" s="18">
        <f>D8*(1-Assumptions!B8)</f>
        <v>2906917088.4553657</v>
      </c>
      <c r="E9" s="18">
        <f>E8*(1-Assumptions!B8)</f>
        <v>3046834416.020591</v>
      </c>
      <c r="F9" s="18">
        <f>F8*(1-Assumptions!B8)</f>
        <v>3181739480.3469834</v>
      </c>
      <c r="G9" s="18">
        <f>G8*(1-Assumptions!B8)</f>
        <v>3310350795.7863984</v>
      </c>
      <c r="H9" s="18">
        <f>H8*(1-Assumptions!B8)</f>
        <v>3431397990.7461505</v>
      </c>
      <c r="I9" s="18">
        <f>I8*(1-Assumptions!B8)</f>
        <v>3543641933.925094</v>
      </c>
      <c r="J9" s="18">
        <f>J8*(1-Assumptions!B8)</f>
        <v>3645895227.053776</v>
      </c>
      <c r="K9" s="18">
        <f>K8*(1-Assumptions!B8)</f>
        <v>3737042607.730119</v>
      </c>
    </row>
    <row r="10" spans="1:11" x14ac:dyDescent="0.25">
      <c r="A10" t="s">
        <v>53</v>
      </c>
      <c r="B10" s="18">
        <f>B6*Assumptions!B9</f>
        <v>1470145846.4339042</v>
      </c>
      <c r="C10" s="18">
        <f>C6*Assumptions!B9</f>
        <v>1552243785.932758</v>
      </c>
      <c r="D10" s="18">
        <f>D6*Assumptions!B9</f>
        <v>1632941794.240966</v>
      </c>
      <c r="E10" s="18">
        <f>E6*Assumptions!B9</f>
        <v>1711539444.2486463</v>
      </c>
      <c r="F10" s="18">
        <f>F6*Assumptions!B9</f>
        <v>1787321487.9361696</v>
      </c>
      <c r="G10" s="18">
        <f>G6*Assumptions!B9</f>
        <v>1859568059.0638392</v>
      </c>
      <c r="H10" s="18">
        <f>H6*Assumptions!B9</f>
        <v>1927565534.6404283</v>
      </c>
      <c r="I10" s="18">
        <f>I6*Assumptions!B9</f>
        <v>1990617840.7055795</v>
      </c>
      <c r="J10" s="18">
        <f>J6*Assumptions!B9</f>
        <v>2048057963.9934855</v>
      </c>
      <c r="K10" s="18">
        <f>K6*Assumptions!B9</f>
        <v>2099259413.0933223</v>
      </c>
    </row>
    <row r="11" spans="1:11" x14ac:dyDescent="0.25">
      <c r="A11" t="s">
        <v>54</v>
      </c>
      <c r="B11" s="18">
        <f>-B6*B19</f>
        <v>-441699033.8250091</v>
      </c>
      <c r="C11" s="18">
        <f>-C6*C19</f>
        <v>-572010029.1268761</v>
      </c>
      <c r="D11" s="18">
        <f>-D6*D19</f>
        <v>-712884962.0614654</v>
      </c>
      <c r="E11" s="18">
        <f>-E6*E19</f>
        <v>-863684543.9482846</v>
      </c>
      <c r="F11" s="18">
        <f>-F6*F19</f>
        <v>-1023570315.3818598</v>
      </c>
      <c r="G11" s="18">
        <f>-G6*G19</f>
        <v>-1191506140.0162277</v>
      </c>
      <c r="H11" s="18">
        <f>-H6*H19</f>
        <v>-1366264331.6369715</v>
      </c>
      <c r="I11" s="18">
        <f>-I6*I19</f>
        <v>-1546436561.7643359</v>
      </c>
      <c r="J11" s="18">
        <f>-J6*J19</f>
        <v>-1730449558.0090685</v>
      </c>
      <c r="K11" s="18">
        <f>-K6*K19</f>
        <v>-1916585457.1919296</v>
      </c>
    </row>
    <row r="12" spans="1:11" x14ac:dyDescent="0.25">
      <c r="A12" t="s">
        <v>55</v>
      </c>
      <c r="B12" s="18">
        <f>-(B6-Assumptions!B29)*Assumptions!B11</f>
        <v>-190322217.56294933</v>
      </c>
      <c r="C12" s="18">
        <f>-(C6-B6)*Assumptions!B11</f>
        <v>-226876320.29703718</v>
      </c>
      <c r="D12" s="18">
        <f>-(D6-C6)*Assumptions!B11</f>
        <v>-223007633.22472376</v>
      </c>
      <c r="E12" s="18">
        <f>-(E6-D6)*Assumptions!B11</f>
        <v>-217203327.22827774</v>
      </c>
      <c r="F12" s="18">
        <f>-(F6-E6)*Assumptions!B11</f>
        <v>-209422444.96470746</v>
      </c>
      <c r="G12" s="18">
        <f>-(G6-F6)*Assumptions!B11</f>
        <v>-199652224.05798268</v>
      </c>
      <c r="H12" s="18">
        <f>-(H6-G6)*Assumptions!B11</f>
        <v>-187909917.6236883</v>
      </c>
      <c r="I12" s="18">
        <f>-(I6-H6)*Assumptions!B11</f>
        <v>-174244022.12315902</v>
      </c>
      <c r="J12" s="18">
        <f>-(J6-I6)*Assumptions!B11</f>
        <v>-158734846.31304532</v>
      </c>
      <c r="K12" s="18">
        <f>-(K6-J6)*Assumptions!B11</f>
        <v>-141494371.68041497</v>
      </c>
    </row>
    <row r="13" spans="1:11" x14ac:dyDescent="0.25">
      <c r="A13" s="19" t="s">
        <v>56</v>
      </c>
      <c r="B13" s="20">
        <f>B9+B10+B11+B12</f>
        <v>3455236912.577675</v>
      </c>
      <c r="C13" s="20">
        <f>C9+C10+C11+C12</f>
        <v>3516618198.5827284</v>
      </c>
      <c r="D13" s="20">
        <f>D9+D10+D11+D12</f>
        <v>3603966287.410143</v>
      </c>
      <c r="E13" s="20">
        <f>E9+E10+E11+E12</f>
        <v>3677485989.092675</v>
      </c>
      <c r="F13" s="20">
        <f>F9+F10+F11+F12</f>
        <v>3736068207.9365864</v>
      </c>
      <c r="G13" s="20">
        <f>G9+G10+G11+G12</f>
        <v>3778760490.7760277</v>
      </c>
      <c r="H13" s="20">
        <f>H9+H10+H11+H12</f>
        <v>3804789276.125919</v>
      </c>
      <c r="I13" s="20">
        <f>I9+I10+I11+I12</f>
        <v>3813579190.743179</v>
      </c>
      <c r="J13" s="20">
        <f>J9+J10+J11+J12</f>
        <v>3804768786.7251472</v>
      </c>
      <c r="K13" s="20">
        <f>K9+K10+K11+K12</f>
        <v>3778222191.9510965</v>
      </c>
    </row>
    <row r="14" spans="1:11" x14ac:dyDescent="0.25">
      <c r="A14" t="s">
        <v>57</v>
      </c>
      <c r="B14" s="21">
        <f>1/(1+Assumptions!$B$26)^(1-0.5*Assumptions!$B$32)</f>
        <v>0.9578638495649372</v>
      </c>
      <c r="C14" s="21">
        <f>1/(1+Assumptions!$B$26)^(2-0.5*Assumptions!$B$32)</f>
        <v>0.8788431033689892</v>
      </c>
      <c r="D14" s="21">
        <f>1/(1+Assumptions!$B$26)^(3-0.5*Assumptions!$B$32)</f>
        <v>0.8063413194788018</v>
      </c>
      <c r="E14" s="21">
        <f>1/(1+Assumptions!$B$26)^(4-0.5*Assumptions!$B$32)</f>
        <v>0.7398207040669345</v>
      </c>
      <c r="F14" s="21">
        <f>1/(1+Assumptions!$B$26)^(5-0.5*Assumptions!$B$32)</f>
        <v>0.6787878296003452</v>
      </c>
      <c r="G14" s="21">
        <f>1/(1+Assumptions!$B$26)^(6-0.5*Assumptions!$B$32)</f>
        <v>0.6227899747610486</v>
      </c>
      <c r="H14" s="21">
        <f>1/(1+Assumptions!$B$26)^(7-0.5*Assumptions!$B$32)</f>
        <v>0.5714117663117724</v>
      </c>
      <c r="I14" s="21">
        <f>1/(1+Assumptions!$B$26)^(8-0.5*Assumptions!$B$32)</f>
        <v>0.5242720979971058</v>
      </c>
      <c r="J14" s="21">
        <f>1/(1+Assumptions!$B$26)^(9-0.5*Assumptions!$B$32)</f>
        <v>0.48102130362558504</v>
      </c>
      <c r="K14" s="21">
        <f>1/(1+Assumptions!$B$26)^(10-0.5*Assumptions!$B$32)</f>
        <v>0.4413385633635887</v>
      </c>
    </row>
    <row r="15" spans="1:11" x14ac:dyDescent="0.25">
      <c r="A15" s="19" t="s">
        <v>58</v>
      </c>
      <c r="B15" s="20">
        <f>B13*B14</f>
        <v>3309646530.24052</v>
      </c>
      <c r="C15" s="20">
        <f>C13*C14</f>
        <v>3090555651.0063095</v>
      </c>
      <c r="D15" s="20">
        <f>D13*D14</f>
        <v>2906026931.5474133</v>
      </c>
      <c r="E15" s="20">
        <f>E13*E14</f>
        <v>2720680273.6468296</v>
      </c>
      <c r="F15" s="20">
        <f>F13*F14</f>
        <v>2535997630.104127</v>
      </c>
      <c r="G15" s="20">
        <f>G13*G14</f>
        <v>2353374150.6784496</v>
      </c>
      <c r="H15" s="20">
        <f>H13*H14</f>
        <v>2174101360.715201</v>
      </c>
      <c r="I15" s="20">
        <f>I13*I14</f>
        <v>1999353163.2090313</v>
      </c>
      <c r="J15" s="20">
        <f>J13*J14</f>
        <v>1830174841.7844658</v>
      </c>
      <c r="K15" s="20">
        <f>K13*K14</f>
        <v>1667475154.2641258</v>
      </c>
    </row>
    <row r="17" spans="1:2" x14ac:dyDescent="0.25">
      <c r="A17" s="22" t="s">
        <v>59</v>
      </c>
      <c r="B17" s="23">
        <f>SUM(B15:K15)</f>
        <v>24587385687.196472</v>
      </c>
    </row>
    <row r="19" spans="1:11" x14ac:dyDescent="0.25">
      <c r="A19" t="s">
        <v>7</v>
      </c>
      <c r="B19" s="9">
        <f>Assumptions!$B$10+($B$20-Assumptions!$B$10)*0/9</f>
        <v>0.02336851787110859</v>
      </c>
      <c r="C19" s="9">
        <f>Assumptions!$B$10+($B$20-Assumptions!$B$10)*1/9</f>
        <v>0.028662155903353612</v>
      </c>
      <c r="D19" s="9">
        <f>Assumptions!$B$10+($B$20-Assumptions!$B$10)*2/9</f>
        <v>0.03395579393559863</v>
      </c>
      <c r="E19" s="9">
        <f>Assumptions!$B$10+($B$20-Assumptions!$B$10)*3/9</f>
        <v>0.039249431967843654</v>
      </c>
      <c r="F19" s="9">
        <f>Assumptions!$B$10+($B$20-Assumptions!$B$10)*4/9</f>
        <v>0.044543070000088676</v>
      </c>
      <c r="G19" s="9">
        <f>Assumptions!$B$10+($B$20-Assumptions!$B$10)*5/9</f>
        <v>0.0498367080323337</v>
      </c>
      <c r="H19" s="9">
        <f>Assumptions!$B$10+($B$20-Assumptions!$B$10)*6/9</f>
        <v>0.055130346064578714</v>
      </c>
      <c r="I19" s="9">
        <f>Assumptions!$B$10+($B$20-Assumptions!$B$10)*7/9</f>
        <v>0.060423984096823743</v>
      </c>
      <c r="J19" s="9">
        <f>Assumptions!$B$10+($B$20-Assumptions!$B$10)*8/9</f>
        <v>0.06571762212906876</v>
      </c>
      <c r="K19" s="9">
        <f>Assumptions!$B$10+($B$20-Assumptions!$B$10)*9/9</f>
        <v>0.07101126016131379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0.07101126016131379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3778222191.9510965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4973884046.59172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0.2780418895278845</v>
      </c>
    </row>
    <row r="7" spans="1:2" x14ac:dyDescent="0.25">
      <c r="A7" t="s">
        <v>66</v>
      </c>
      <c r="B7" s="18">
        <f>-MAX(B5,0)*B6</f>
        <v>-1382948118.606962</v>
      </c>
    </row>
    <row r="8" spans="1:2" x14ac:dyDescent="0.25">
      <c r="A8" t="s">
        <v>67</v>
      </c>
      <c r="B8" s="18">
        <f>IF(OR(Assumptions!$B$33=0,Assumptions!B12&lt;=0),B5,MAX(B5+B7,0))</f>
        <v>3590935927.9847574</v>
      </c>
    </row>
    <row r="9" spans="1:2" x14ac:dyDescent="0.25">
      <c r="A9" t="s">
        <v>68</v>
      </c>
      <c r="B9" s="18">
        <f>B8*(1+Assumptions!B12)/(Assumptions!B26-Assumptions!B12)</f>
        <v>56700872862.885445</v>
      </c>
    </row>
    <row r="10" spans="1:2" x14ac:dyDescent="0.25">
      <c r="A10" t="s">
        <v>69</v>
      </c>
      <c r="B10" s="18">
        <f>B9/(1+Assumptions!B26)^(10-0.5*Assumptions!B32)</f>
        <v>25024281770.767353</v>
      </c>
    </row>
    <row r="11" spans="1:2" x14ac:dyDescent="0.25">
      <c r="A11" t="s">
        <v>70</v>
      </c>
      <c r="B11" s="18">
        <f>Forecast!B17+B10</f>
        <v>49611667457.96382</v>
      </c>
    </row>
    <row r="12" spans="1:2" x14ac:dyDescent="0.25">
      <c r="A12" t="s">
        <v>71</v>
      </c>
      <c r="B12" s="18">
        <f>-Assumptions!B30</f>
        <v>-12215000000</v>
      </c>
    </row>
    <row r="13" spans="1:2" x14ac:dyDescent="0.25">
      <c r="A13" t="s">
        <v>72</v>
      </c>
      <c r="B13" s="18">
        <f>B11+B12</f>
        <v>37396667457.96382</v>
      </c>
    </row>
    <row r="14" spans="1:2" x14ac:dyDescent="0.25">
      <c r="A14" s="19" t="s">
        <v>73</v>
      </c>
      <c r="B14" s="24">
        <f>B13/Assumptions!B31</f>
        <v>65.99023726480293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6829693093.7643585</v>
      </c>
    </row>
    <row r="18" spans="1:2" x14ac:dyDescent="0.25">
      <c r="A18" t="s">
        <v>68</v>
      </c>
      <c r="B18" s="18">
        <f>B17*Assumptions!B13</f>
        <v>136593861875.28717</v>
      </c>
    </row>
    <row r="19" spans="1:2" x14ac:dyDescent="0.25">
      <c r="A19" t="s">
        <v>69</v>
      </c>
      <c r="B19" s="18">
        <f>B18/(1+Assumptions!B26)^(10-0.5*Assumptions!B32)</f>
        <v>60284138764.32371</v>
      </c>
    </row>
    <row r="20" spans="1:2" x14ac:dyDescent="0.25">
      <c r="A20" t="s">
        <v>70</v>
      </c>
      <c r="B20" s="18">
        <f>Forecast!B17+B19</f>
        <v>84871524451.52017</v>
      </c>
    </row>
    <row r="21" spans="1:2" x14ac:dyDescent="0.25">
      <c r="A21" t="s">
        <v>71</v>
      </c>
      <c r="B21" s="18">
        <f>-Assumptions!B30</f>
        <v>-12215000000</v>
      </c>
    </row>
    <row r="22" spans="1:2" x14ac:dyDescent="0.25">
      <c r="A22" t="s">
        <v>72</v>
      </c>
      <c r="B22" s="18">
        <f>B20+B21</f>
        <v>72656524451.52017</v>
      </c>
    </row>
    <row r="23" spans="1:2" x14ac:dyDescent="0.25">
      <c r="A23" s="19" t="s">
        <v>73</v>
      </c>
      <c r="B23" s="25">
        <f>B22/Assumptions!B31</f>
        <v>128.2098543347806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164.94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65.99023726480293</v>
      </c>
    </row>
    <row r="29" spans="1:2" x14ac:dyDescent="0.25">
      <c r="A29" s="19" t="s">
        <v>81</v>
      </c>
      <c r="B29" s="11">
        <f>B28/B26-1</f>
        <v>-0.5999136821583428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0.069915</v>
      </c>
      <c r="B5" s="31">
        <v>97.1273986460884</v>
      </c>
      <c r="C5" s="31">
        <v>96.90640111803962</v>
      </c>
      <c r="D5" s="31">
        <v>96.9285518212438</v>
      </c>
      <c r="E5" s="31">
        <v>97.28522551378171</v>
      </c>
      <c r="F5" s="31">
        <v>98.12013821570218</v>
      </c>
    </row>
    <row r="6" spans="1:6" x14ac:dyDescent="0.25">
      <c r="A6" s="30">
        <v>0.079915</v>
      </c>
      <c r="B6" s="31">
        <v>79.50652680594939</v>
      </c>
      <c r="C6" s="31">
        <v>78.27067690668203</v>
      </c>
      <c r="D6" s="31">
        <v>77.03482700741465</v>
      </c>
      <c r="E6" s="31">
        <v>75.7989771081473</v>
      </c>
      <c r="F6" s="31">
        <v>74.56312720887995</v>
      </c>
    </row>
    <row r="7" spans="1:6" x14ac:dyDescent="0.25">
      <c r="A7" s="30">
        <v>0.089915</v>
      </c>
      <c r="B7" s="31">
        <v>68.06851635044441</v>
      </c>
      <c r="C7" s="31">
        <v>67.02913600862905</v>
      </c>
      <c r="D7" s="32">
        <v>65.98975566681366</v>
      </c>
      <c r="E7" s="31">
        <v>64.95037532499833</v>
      </c>
      <c r="F7" s="31">
        <v>63.91099498318295</v>
      </c>
    </row>
    <row r="8" spans="1:6" x14ac:dyDescent="0.25">
      <c r="A8" s="30">
        <v>0.099915</v>
      </c>
      <c r="B8" s="31">
        <v>58.93910706404926</v>
      </c>
      <c r="C8" s="31">
        <v>58.05326690019954</v>
      </c>
      <c r="D8" s="31">
        <v>57.1674267363498</v>
      </c>
      <c r="E8" s="31">
        <v>56.28158657250005</v>
      </c>
      <c r="F8" s="31">
        <v>55.39574640865032</v>
      </c>
    </row>
    <row r="9" spans="1:6" x14ac:dyDescent="0.25">
      <c r="A9" s="30">
        <v>0.109915</v>
      </c>
      <c r="B9" s="31">
        <v>51.48727396140092</v>
      </c>
      <c r="C9" s="31">
        <v>50.72402091213621</v>
      </c>
      <c r="D9" s="31">
        <v>49.96076786287152</v>
      </c>
      <c r="E9" s="31">
        <v>49.19751481360682</v>
      </c>
      <c r="F9" s="31">
        <v>48.434261764342125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18016000000</v>
      </c>
      <c r="C5" s="18">
        <v>17492000000</v>
      </c>
      <c r="D5" s="18">
        <v>15165000000</v>
      </c>
      <c r="E5" s="18">
        <v>13804000000</v>
      </c>
      <c r="F5" s="6" t="s">
        <v>91</v>
      </c>
    </row>
    <row r="6" spans="1:6" x14ac:dyDescent="0.25">
      <c r="A6" t="s">
        <v>51</v>
      </c>
      <c r="B6" s="18">
        <v>3532000000</v>
      </c>
      <c r="C6" s="18">
        <v>2666000000</v>
      </c>
      <c r="D6" s="18">
        <v>2759000000</v>
      </c>
      <c r="E6" s="18">
        <v>2356000000</v>
      </c>
      <c r="F6" s="6" t="s">
        <v>92</v>
      </c>
    </row>
    <row r="7" spans="1:6" x14ac:dyDescent="0.25">
      <c r="A7" t="s">
        <v>93</v>
      </c>
      <c r="B7" s="18">
        <v>1518000000</v>
      </c>
      <c r="C7" s="18">
        <v>1689000000</v>
      </c>
      <c r="D7" s="18">
        <v>1051000000</v>
      </c>
      <c r="E7" s="18">
        <v>842000000</v>
      </c>
      <c r="F7" s="6" t="s">
        <v>94</v>
      </c>
    </row>
    <row r="8" spans="1:6" x14ac:dyDescent="0.25">
      <c r="A8" t="s">
        <v>95</v>
      </c>
      <c r="B8" s="18">
        <v>431000000</v>
      </c>
      <c r="C8" s="18">
        <v>419000000</v>
      </c>
      <c r="D8" s="18">
        <v>363000000</v>
      </c>
      <c r="E8" s="18">
        <v>299000000</v>
      </c>
      <c r="F8" s="6" t="s">
        <v>96</v>
      </c>
    </row>
    <row r="9" spans="1:6" x14ac:dyDescent="0.25">
      <c r="A9" t="s">
        <v>97</v>
      </c>
      <c r="B9" s="18">
        <v>9000000</v>
      </c>
      <c r="C9" s="18">
        <v>151000000</v>
      </c>
      <c r="D9" s="18">
        <v>148000000</v>
      </c>
      <c r="E9" s="18">
        <v>312000000</v>
      </c>
      <c r="F9" s="6" t="s">
        <v>98</v>
      </c>
    </row>
    <row r="10" spans="1:6" x14ac:dyDescent="0.25">
      <c r="A10" t="s">
        <v>99</v>
      </c>
      <c r="B10" s="18">
        <v>13759000000</v>
      </c>
      <c r="C10" s="18">
        <v>8356000000</v>
      </c>
      <c r="D10" s="18">
        <v>8561000000</v>
      </c>
      <c r="E10" s="18">
        <v>10686000000</v>
      </c>
      <c r="F10" s="6" t="s">
        <v>100</v>
      </c>
    </row>
    <row r="11" spans="1:6" x14ac:dyDescent="0.25">
      <c r="A11" t="s">
        <v>101</v>
      </c>
      <c r="B11" s="18">
        <v>1544000000</v>
      </c>
      <c r="C11" s="18">
        <v>3588000000</v>
      </c>
      <c r="D11" s="18">
        <v>8051000000</v>
      </c>
      <c r="E11" s="18">
        <v>1804000000</v>
      </c>
      <c r="F11" s="6" t="s">
        <v>102</v>
      </c>
    </row>
    <row r="12" spans="1:6" x14ac:dyDescent="0.25">
      <c r="A12" t="s">
        <v>34</v>
      </c>
      <c r="B12" s="34">
        <v>566700000</v>
      </c>
      <c r="C12" s="34">
        <v>574000000</v>
      </c>
      <c r="D12" s="34">
        <v>577300000</v>
      </c>
      <c r="E12" s="34">
        <v>596300000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