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<sst xmlns="http://schemas.openxmlformats.org/spreadsheetml/2006/main" count="113" uniqueCount="101">
  <si>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Emerald Resources NL (EMR.AX)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</si>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</sst>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0.26446323735020005</v>
      </c>
    </row>
    <row r="7" spans="1:2" x14ac:dyDescent="0.25">
      <c r="A7" t="s">
        <v>5</v>
      </c>
      <c r="B7" s="6">
        <v>0.43658910982789645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0.06145211757661735</v>
      </c>
    </row>
    <row r="10" spans="1:2" x14ac:dyDescent="0.25">
      <c r="A10" t="s">
        <v>8</v>
      </c>
      <c r="B10" s="6">
        <v>0.05028235467543812</v>
      </c>
    </row>
    <row r="11" spans="1:2" x14ac:dyDescent="0.25">
      <c r="A11" t="s">
        <v>9</v>
      </c>
      <c r="B11" s="6">
        <v>0.04883883767067336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11.8228656189104</v>
      </c>
    </row>
    <row r="14" spans="1:3" x14ac:dyDescent="0.25">
      <c r="A14" t="s">
        <v>12</v>
      </c>
      <c r="B14" s="6">
        <v>0.21050370713131925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0.91826</v>
      </c>
      <c r="C19" s="8" t="s">
        <v>19</v>
      </c>
    </row>
    <row r="20" spans="1:2" x14ac:dyDescent="0.25">
      <c r="A20" t="s">
        <v>20</v>
      </c>
      <c r="B20" s="10">
        <f>B17+B19*B18</f>
        <v>0.1085756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4685165568</v>
      </c>
    </row>
    <row r="23" spans="1:2" x14ac:dyDescent="0.25">
      <c r="A23" t="s">
        <v>24</v>
      </c>
      <c r="B23" s="11">
        <v>31884000</v>
      </c>
    </row>
    <row r="24" spans="1:2" x14ac:dyDescent="0.25">
      <c r="A24" t="s">
        <v>25</v>
      </c>
      <c r="B24" s="10">
        <f>B22/(B22+B23)</f>
        <v>0.9932406900668804</v>
      </c>
    </row>
    <row r="25" spans="1:2" x14ac:dyDescent="0.25">
      <c r="A25" t="s">
        <v>26</v>
      </c>
      <c r="B25" s="10">
        <f>1-B24</f>
        <v>0.006759309933119573</v>
      </c>
    </row>
    <row r="26" spans="1:2" x14ac:dyDescent="0.25">
      <c r="A26" t="s">
        <v>27</v>
      </c>
      <c r="B26" s="12">
        <f>B24*B20+B25*B21*(1-B8)</f>
        <v>0.10809474539508185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601794000</v>
      </c>
      <c r="C29" s="8" t="s">
        <v>30</v>
      </c>
    </row>
    <row r="30" spans="1:2" x14ac:dyDescent="0.25">
      <c r="A30" t="s">
        <v>31</v>
      </c>
      <c r="B30" s="11">
        <v>-401765000</v>
      </c>
    </row>
    <row r="31" spans="1:2" x14ac:dyDescent="0.25">
      <c r="A31" t="s">
        <v>32</v>
      </c>
      <c r="B31" s="13">
        <v>660244000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0.26446323735020005</v>
      </c>
      <c r="C5" s="10">
        <f>Assumptions!B6</f>
        <v>0.26446323735020005</v>
      </c>
      <c r="D5" s="10">
        <f>Assumptions!B6</f>
        <v>0.26446323735020005</v>
      </c>
      <c r="E5" s="10">
        <f>Assumptions!B6</f>
        <v>0.26446323735020005</v>
      </c>
      <c r="F5" s="10">
        <f>Assumptions!B6</f>
        <v>0.26446323735020005</v>
      </c>
    </row>
    <row r="6" spans="1:6" x14ac:dyDescent="0.25">
      <c r="A6" t="s">
        <v>43</v>
      </c>
      <c r="B6" s="18">
        <f>Assumptions!B29*(1+B5)</f>
        <v>760946389.4579263</v>
      </c>
      <c r="C6" s="18">
        <f>B6*(1+C5)</f>
        <v>962188735.0639156</v>
      </c>
      <c r="D6" s="18">
        <f>C6*(1+D5)</f>
        <v>1216652282.8808126</v>
      </c>
      <c r="E6" s="18">
        <f>D6*(1+E5)</f>
        <v>1538412084.3409836</v>
      </c>
      <c r="F6" s="18">
        <f>E6*(1+F5)</f>
        <v>1945265524.544469</v>
      </c>
    </row>
    <row r="7" spans="1:6" x14ac:dyDescent="0.25">
      <c r="A7" t="s">
        <v>5</v>
      </c>
      <c r="B7" s="10">
        <f>Assumptions!B7</f>
        <v>0.43658910982789645</v>
      </c>
      <c r="C7" s="10">
        <f>Assumptions!B7</f>
        <v>0.43658910982789645</v>
      </c>
      <c r="D7" s="10">
        <f>Assumptions!B7</f>
        <v>0.43658910982789645</v>
      </c>
      <c r="E7" s="10">
        <f>Assumptions!B7</f>
        <v>0.43658910982789645</v>
      </c>
      <c r="F7" s="10">
        <f>Assumptions!B7</f>
        <v>0.43658910982789645</v>
      </c>
    </row>
    <row r="8" spans="1:6" x14ac:dyDescent="0.25">
      <c r="A8" t="s">
        <v>44</v>
      </c>
      <c r="B8" s="18">
        <f>B6*B7</f>
        <v>332220906.8001878</v>
      </c>
      <c r="C8" s="18">
        <f>C6*C7</f>
        <v>420081123.32798463</v>
      </c>
      <c r="D8" s="18">
        <f>D6*D7</f>
        <v>531177137.15301204</v>
      </c>
      <c r="E8" s="18">
        <f>E6*E7</f>
        <v>671653962.4509088</v>
      </c>
      <c r="F8" s="18">
        <f>F6*F7</f>
        <v>849281743.7397659</v>
      </c>
    </row>
    <row r="9" spans="1:6" x14ac:dyDescent="0.25">
      <c r="A9" t="s">
        <v>45</v>
      </c>
      <c r="B9" s="18">
        <f>B8*(1-Assumptions!B8)</f>
        <v>232554634.76013148</v>
      </c>
      <c r="C9" s="18">
        <f>C8*(1-Assumptions!B8)</f>
        <v>294056786.32958925</v>
      </c>
      <c r="D9" s="18">
        <f>D8*(1-Assumptions!B8)</f>
        <v>371823996.0071084</v>
      </c>
      <c r="E9" s="18">
        <f>E8*(1-Assumptions!B8)</f>
        <v>470157773.71563613</v>
      </c>
      <c r="F9" s="18">
        <f>F8*(1-Assumptions!B8)</f>
        <v>594497220.6178361</v>
      </c>
    </row>
    <row r="10" spans="1:6" x14ac:dyDescent="0.25">
      <c r="A10" t="s">
        <v>46</v>
      </c>
      <c r="B10" s="18">
        <f>B6*Assumptions!B9</f>
        <v>46761766.99447095</v>
      </c>
      <c r="C10" s="18">
        <f>C6*Assumptions!B9</f>
        <v>59128535.27804446</v>
      </c>
      <c r="D10" s="18">
        <f>D6*Assumptions!B9</f>
        <v>74765859.13745162</v>
      </c>
      <c r="E10" s="18">
        <f>E6*Assumptions!B9</f>
        <v>94538680.28821109</v>
      </c>
      <c r="F10" s="18">
        <f>F6*Assumptions!B9</f>
        <v>119540685.73204695</v>
      </c>
    </row>
    <row r="11" spans="1:6" x14ac:dyDescent="0.25">
      <c r="A11" t="s">
        <v>47</v>
      </c>
      <c r="B11" s="18">
        <f>-B6*Assumptions!B10</f>
        <v>-38262176.24371752</v>
      </c>
      <c r="C11" s="18">
        <f>-C6*Assumptions!B10</f>
        <v>-48381115.24119497</v>
      </c>
      <c r="D11" s="18">
        <f>-D6*Assumptions!B10</f>
        <v>-61176141.6044945</v>
      </c>
      <c r="E11" s="18">
        <f>-E6*Assumptions!B10</f>
        <v>-77354982.06181337</v>
      </c>
      <c r="F11" s="18">
        <f>-F6*Assumptions!B10</f>
        <v>-97812531.04304717</v>
      </c>
    </row>
    <row r="12" spans="1:6" x14ac:dyDescent="0.25">
      <c r="A12" t="s">
        <v>48</v>
      </c>
      <c r="B12" s="18">
        <f>-(B6-Assumptions!B29)*Assumptions!B11</f>
        <v>-7772817.713635447</v>
      </c>
      <c r="C12" s="18">
        <f>-(C6-B6)*Assumptions!B11</f>
        <v>-9828442.24951646</v>
      </c>
      <c r="D12" s="18">
        <f>-(D6-C6)*Assumptions!B11</f>
        <v>-12427703.904933063</v>
      </c>
      <c r="E12" s="18">
        <f>-(E6-D6)*Assumptions!B11</f>
        <v>-15714374.71246138</v>
      </c>
      <c r="F12" s="18">
        <f>-(F6-E6)*Assumptions!B11</f>
        <v>-19870249.12185304</v>
      </c>
    </row>
    <row r="13" spans="1:6" x14ac:dyDescent="0.25">
      <c r="A13" s="19" t="s">
        <v>49</v>
      </c>
      <c r="B13" s="20">
        <f>B9+B10+B11+B12</f>
        <v>233281407.79724947</v>
      </c>
      <c r="C13" s="20">
        <f>C9+C10+C11+C12</f>
        <v>294975764.11692226</v>
      </c>
      <c r="D13" s="20">
        <f>D9+D10+D11+D12</f>
        <v>372986009.63513243</v>
      </c>
      <c r="E13" s="20">
        <f>E9+E10+E11+E12</f>
        <v>471627097.22957253</v>
      </c>
      <c r="F13" s="20">
        <f>F9+F10+F11+F12</f>
        <v>596355126.1849829</v>
      </c>
    </row>
    <row r="14" spans="1:6" x14ac:dyDescent="0.25">
      <c r="A14" t="s">
        <v>50</v>
      </c>
      <c r="B14" s="21">
        <f>1/(1+Assumptions!$B$26)^(1-0.5*Assumptions!$B$32)</f>
        <v>0.9499736349310394</v>
      </c>
      <c r="C14" s="21">
        <f>1/(1+Assumptions!$B$26)^(2-0.5*Assumptions!$B$32)</f>
        <v>0.857303618556854</v>
      </c>
      <c r="D14" s="21">
        <f>1/(1+Assumptions!$B$26)^(3-0.5*Assumptions!$B$32)</f>
        <v>0.7736735708923425</v>
      </c>
      <c r="E14" s="21">
        <f>1/(1+Assumptions!$B$26)^(4-0.5*Assumptions!$B$32)</f>
        <v>0.6982016421497385</v>
      </c>
      <c r="F14" s="21">
        <f>1/(1+Assumptions!$B$26)^(5-0.5*Assumptions!$B$32)</f>
        <v>0.6300920070700278</v>
      </c>
    </row>
    <row r="15" spans="1:6" x14ac:dyDescent="0.25">
      <c r="A15" s="19" t="s">
        <v>51</v>
      </c>
      <c r="B15" s="20">
        <f>B13*B14</f>
        <v>221611186.92698318</v>
      </c>
      <c r="C15" s="20">
        <f>C13*C14</f>
        <v>252883789.96401045</v>
      </c>
      <c r="D15" s="20">
        <f>D13*D14</f>
        <v>288569417.96729857</v>
      </c>
      <c r="E15" s="20">
        <f>E13*E14</f>
        <v>329290813.7680019</v>
      </c>
      <c r="F15" s="20">
        <f>F13*F14</f>
        <v>375758598.38439554</v>
      </c>
    </row>
    <row r="17" spans="1:2" x14ac:dyDescent="0.25">
      <c r="A17" s="22" t="s">
        <v>52</v>
      </c>
      <c r="B17" s="23">
        <f>SUM(B15:F15)</f>
        <v>1468113807.0106897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596355126.1849829</v>
      </c>
    </row>
    <row r="5" spans="1:2" x14ac:dyDescent="0.25">
      <c r="A5" t="s">
        <v>56</v>
      </c>
      <c r="B5" s="18">
        <f>IF(Assumptions!$B$33=0,B4,B4-Forecast!F11-Forecast!F10-Forecast!F12)</f>
        <v>594497220.6178361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0.11876275406591374</v>
      </c>
    </row>
    <row r="7" spans="1:2" x14ac:dyDescent="0.25">
      <c r="A7" t="s">
        <v>58</v>
      </c>
      <c r="B7" s="18">
        <f>-MAX(Forecast!F9,0)*B6</f>
        <v>-70604127.20510533</v>
      </c>
    </row>
    <row r="8" spans="1:2" x14ac:dyDescent="0.25">
      <c r="A8" t="s">
        <v>59</v>
      </c>
      <c r="B8" s="18">
        <f>IF(OR(Assumptions!$B$33=0,Assumptions!B12&lt;=0),B5,MAX(B5+B7,0))</f>
        <v>523893093.4127308</v>
      </c>
    </row>
    <row r="9" spans="1:2" x14ac:dyDescent="0.25">
      <c r="A9" t="s">
        <v>60</v>
      </c>
      <c r="B9" s="18">
        <f>B8*(1+Assumptions!B12)/(Assumptions!B26-Assumptions!B12)</f>
        <v>6462387220.694607</v>
      </c>
    </row>
    <row r="10" spans="1:2" x14ac:dyDescent="0.25">
      <c r="A10" t="s">
        <v>61</v>
      </c>
      <c r="B10" s="18">
        <f>B9/(1+Assumptions!B26)^(5-0.5*Assumptions!B32)</f>
        <v>4071898534.3511634</v>
      </c>
    </row>
    <row r="11" spans="1:2" x14ac:dyDescent="0.25">
      <c r="A11" t="s">
        <v>62</v>
      </c>
      <c r="B11" s="18">
        <f>Forecast!B17+B10</f>
        <v>5540012341.361853</v>
      </c>
    </row>
    <row r="12" spans="1:2" x14ac:dyDescent="0.25">
      <c r="A12" t="s">
        <v>63</v>
      </c>
      <c r="B12" s="18">
        <f>-Assumptions!B30</f>
        <v>401765000</v>
      </c>
    </row>
    <row r="13" spans="1:2" x14ac:dyDescent="0.25">
      <c r="A13" t="s">
        <v>64</v>
      </c>
      <c r="B13" s="18">
        <f>B11+B12</f>
        <v>5941777341.361853</v>
      </c>
    </row>
    <row r="14" spans="1:2" x14ac:dyDescent="0.25">
      <c r="A14" s="19" t="s">
        <v>65</v>
      </c>
      <c r="B14" s="24">
        <f>B13/Assumptions!B31</f>
        <v>8.999365903153763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968822429.4718128</v>
      </c>
    </row>
    <row r="18" spans="1:2" x14ac:dyDescent="0.25">
      <c r="A18" t="s">
        <v>60</v>
      </c>
      <c r="B18" s="18">
        <f>B17*Assumptions!B13</f>
        <v>11454257392.231543</v>
      </c>
    </row>
    <row r="19" spans="1:2" x14ac:dyDescent="0.25">
      <c r="A19" t="s">
        <v>61</v>
      </c>
      <c r="B19" s="18">
        <f>B18/(1+Assumptions!B26)^(5-0.5*Assumptions!B32)</f>
        <v>7217236029.767875</v>
      </c>
    </row>
    <row r="20" spans="1:2" x14ac:dyDescent="0.25">
      <c r="A20" t="s">
        <v>62</v>
      </c>
      <c r="B20" s="18">
        <f>Forecast!B17+B19</f>
        <v>8685349836.778564</v>
      </c>
    </row>
    <row r="21" spans="1:2" x14ac:dyDescent="0.25">
      <c r="A21" t="s">
        <v>63</v>
      </c>
      <c r="B21" s="18">
        <f>-Assumptions!B30</f>
        <v>401765000</v>
      </c>
    </row>
    <row r="22" spans="1:2" x14ac:dyDescent="0.25">
      <c r="A22" t="s">
        <v>64</v>
      </c>
      <c r="B22" s="18">
        <f>B20+B21</f>
        <v>9087114836.778564</v>
      </c>
    </row>
    <row r="23" spans="1:2" x14ac:dyDescent="0.25">
      <c r="A23" s="19" t="s">
        <v>65</v>
      </c>
      <c r="B23" s="25">
        <f>B22/Assumptions!B31</f>
        <v>13.763267574985255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7.07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8.999365903153763</v>
      </c>
    </row>
    <row r="29" spans="1:2" x14ac:dyDescent="0.25">
      <c r="A29" s="19" t="s">
        <v>73</v>
      </c>
      <c r="B29" s="12">
        <f>B28/B26-1</f>
        <v>0.27289475292132415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0.088095</v>
      </c>
      <c r="B5" s="31">
        <v>10.889371393734793</v>
      </c>
      <c r="C5" s="31">
        <v>11.295407724747227</v>
      </c>
      <c r="D5" s="31">
        <v>11.763478977912284</v>
      </c>
      <c r="E5" s="31">
        <v>12.30960243238118</v>
      </c>
      <c r="F5" s="31">
        <v>12.955828808929079</v>
      </c>
    </row>
    <row r="6" spans="1:6" x14ac:dyDescent="0.25">
      <c r="A6" s="30">
        <v>0.098095</v>
      </c>
      <c r="B6" s="31">
        <v>9.592944149302085</v>
      </c>
      <c r="C6" s="31">
        <v>9.873985195753447</v>
      </c>
      <c r="D6" s="31">
        <v>10.19155459451981</v>
      </c>
      <c r="E6" s="31">
        <v>10.553698828965967</v>
      </c>
      <c r="F6" s="31">
        <v>10.971014975487776</v>
      </c>
    </row>
    <row r="7" spans="1:6" x14ac:dyDescent="0.25">
      <c r="A7" s="30">
        <v>0.108095</v>
      </c>
      <c r="B7" s="31">
        <v>8.577019104108182</v>
      </c>
      <c r="C7" s="31">
        <v>8.776959221853803</v>
      </c>
      <c r="D7" s="32">
        <v>8.999339218707847</v>
      </c>
      <c r="E7" s="31">
        <v>9.24846920654209</v>
      </c>
      <c r="F7" s="31">
        <v>9.529838615067227</v>
      </c>
    </row>
    <row r="8" spans="1:6" x14ac:dyDescent="0.25">
      <c r="A8" s="30">
        <v>0.118095</v>
      </c>
      <c r="B8" s="31">
        <v>7.759902914350253</v>
      </c>
      <c r="C8" s="31">
        <v>7.905068392504874</v>
      </c>
      <c r="D8" s="31">
        <v>8.064436940278485</v>
      </c>
      <c r="E8" s="31">
        <v>8.240426924709913</v>
      </c>
      <c r="F8" s="31">
        <v>8.436038785655555</v>
      </c>
    </row>
    <row r="9" spans="1:6" x14ac:dyDescent="0.25">
      <c r="A9" s="30">
        <v>0.128095</v>
      </c>
      <c r="B9" s="31">
        <v>7.088798749242673</v>
      </c>
      <c r="C9" s="31">
        <v>7.195784251602744</v>
      </c>
      <c r="D9" s="31">
        <v>7.311941082435229</v>
      </c>
      <c r="E9" s="31">
        <v>7.438671657022118</v>
      </c>
      <c r="F9" s="31">
        <v>7.577679677563484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601794000</v>
      </c>
      <c r="C5" s="18">
        <v>430414000</v>
      </c>
      <c r="D5" s="18">
        <v>366038000</v>
      </c>
      <c r="E5" s="18">
        <v>297666000</v>
      </c>
      <c r="F5" s="8" t="s">
        <v>84</v>
      </c>
    </row>
    <row r="6" spans="1:6" x14ac:dyDescent="0.25">
      <c r="A6" t="s">
        <v>44</v>
      </c>
      <c r="B6" s="18">
        <v>361696000</v>
      </c>
      <c r="C6" s="18">
        <v>161958000</v>
      </c>
      <c r="D6" s="18">
        <v>151926000</v>
      </c>
      <c r="E6" s="18">
        <v>105370000</v>
      </c>
      <c r="F6" s="8" t="s">
        <v>85</v>
      </c>
    </row>
    <row r="7" spans="1:6" x14ac:dyDescent="0.25">
      <c r="A7" t="s">
        <v>86</v>
      </c>
      <c r="B7" s="18">
        <v>602000</v>
      </c>
      <c r="C7" s="18">
        <v>530000</v>
      </c>
      <c r="D7" s="18">
        <v>36964000</v>
      </c>
      <c r="E7" s="18">
        <v>42445000</v>
      </c>
      <c r="F7" s="8" t="s">
        <v>87</v>
      </c>
    </row>
    <row r="8" spans="1:6" x14ac:dyDescent="0.25">
      <c r="A8" t="s">
        <v>88</v>
      </c>
      <c r="B8" s="18">
        <v>69197000</v>
      </c>
      <c r="C8" s="18">
        <v>17714000</v>
      </c>
      <c r="D8" s="18">
        <v>5885000</v>
      </c>
      <c r="E8" s="18">
        <v>8606000</v>
      </c>
      <c r="F8" s="8" t="s">
        <v>89</v>
      </c>
    </row>
    <row r="9" spans="1:6" x14ac:dyDescent="0.25">
      <c r="A9" t="s">
        <v>90</v>
      </c>
      <c r="B9" s="18">
        <v>8370000</v>
      </c>
      <c r="C9" s="18">
        <v>-6874000</v>
      </c>
      <c r="D9" s="18">
        <v>3514000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31884000</v>
      </c>
      <c r="C10" s="18">
        <v>21931000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433649000</v>
      </c>
      <c r="C11" s="18">
        <v>201387000</v>
      </c>
      <c r="D11" s="18">
        <v>144603000</v>
      </c>
      <c r="E11" s="18">
        <v>71465000</v>
      </c>
      <c r="F11" s="8" t="s">
        <v>95</v>
      </c>
    </row>
    <row r="12" spans="1:6" x14ac:dyDescent="0.25">
      <c r="A12" t="s">
        <v>32</v>
      </c>
      <c r="B12" s="34">
        <v>660244000</v>
      </c>
      <c r="C12" s="34">
        <v>663202120</v>
      </c>
      <c r="D12" s="34">
        <v>620924000</v>
      </c>
      <c r="E12" s="34">
        <v>593772000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