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<sst xmlns="http://schemas.openxmlformats.org/spreadsheetml/2006/main" count="113" uniqueCount="101">
  <si>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Bouygues SA (EN.PA)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</si>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</sst>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0.08606985144018542</v>
      </c>
    </row>
    <row r="7" spans="1:2" x14ac:dyDescent="0.25">
      <c r="A7" t="s">
        <v>5</v>
      </c>
      <c r="B7" s="6">
        <v>0.04375219948921435</v>
      </c>
    </row>
    <row r="8" spans="1:2" x14ac:dyDescent="0.25">
      <c r="A8" t="s">
        <v>6</v>
      </c>
      <c r="B8" s="6">
        <v>0.258</v>
      </c>
    </row>
    <row r="9" spans="1:2" x14ac:dyDescent="0.25">
      <c r="A9" t="s">
        <v>7</v>
      </c>
      <c r="B9" s="6">
        <v>0.05640328866018944</v>
      </c>
    </row>
    <row r="10" spans="1:2" x14ac:dyDescent="0.25">
      <c r="A10" t="s">
        <v>8</v>
      </c>
      <c r="B10" s="6">
        <v>0.050210107797203814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3.9814722104570865</v>
      </c>
    </row>
    <row r="14" spans="1:3" x14ac:dyDescent="0.25">
      <c r="A14" t="s">
        <v>12</v>
      </c>
      <c r="B14" s="6">
        <v>0.07460376150896432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0.7815799999999999</v>
      </c>
      <c r="C19" s="8" t="s">
        <v>19</v>
      </c>
    </row>
    <row r="20" spans="1:2" x14ac:dyDescent="0.25">
      <c r="A20" t="s">
        <v>20</v>
      </c>
      <c r="B20" s="10">
        <f>B17+B19*B18</f>
        <v>0.07889479999999999</v>
      </c>
    </row>
    <row r="21" spans="1:3" x14ac:dyDescent="0.25">
      <c r="A21" t="s">
        <v>21</v>
      </c>
      <c r="B21" s="6">
        <v>0.032029421598127716</v>
      </c>
      <c r="C21" s="8" t="s">
        <v>22</v>
      </c>
    </row>
    <row r="22" spans="1:2" x14ac:dyDescent="0.25">
      <c r="A22" t="s">
        <v>23</v>
      </c>
      <c r="B22" s="11">
        <v>16582313984</v>
      </c>
    </row>
    <row r="23" spans="1:2" x14ac:dyDescent="0.25">
      <c r="A23" t="s">
        <v>24</v>
      </c>
      <c r="B23" s="11">
        <v>15168000000</v>
      </c>
    </row>
    <row r="24" spans="1:2" x14ac:dyDescent="0.25">
      <c r="A24" t="s">
        <v>25</v>
      </c>
      <c r="B24" s="10">
        <f>B22/(B22+B23)</f>
        <v>0.5222724409073989</v>
      </c>
    </row>
    <row r="25" spans="1:2" x14ac:dyDescent="0.25">
      <c r="A25" t="s">
        <v>26</v>
      </c>
      <c r="B25" s="10">
        <f>1-B24</f>
        <v>0.4777275590926011</v>
      </c>
    </row>
    <row r="26" spans="1:2" x14ac:dyDescent="0.25">
      <c r="A26" t="s">
        <v>27</v>
      </c>
      <c r="B26" s="12">
        <f>B24*B20+B25*B21*(1-B8)</f>
        <v>0.05255817212112332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56877000000</v>
      </c>
      <c r="C29" s="8" t="s">
        <v>30</v>
      </c>
    </row>
    <row r="30" spans="1:2" x14ac:dyDescent="0.25">
      <c r="A30" t="s">
        <v>31</v>
      </c>
      <c r="B30" s="11">
        <v>7633000000</v>
      </c>
    </row>
    <row r="31" spans="1:2" x14ac:dyDescent="0.25">
      <c r="A31" t="s">
        <v>32</v>
      </c>
      <c r="B31" s="13">
        <v>382276182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0.08606985144018542</v>
      </c>
      <c r="C5" s="10">
        <f>Assumptions!B6</f>
        <v>0.08606985144018542</v>
      </c>
      <c r="D5" s="10">
        <f>Assumptions!B6</f>
        <v>0.08606985144018542</v>
      </c>
      <c r="E5" s="10">
        <f>Assumptions!B6</f>
        <v>0.08606985144018542</v>
      </c>
      <c r="F5" s="10">
        <f>Assumptions!B6</f>
        <v>0.08606985144018542</v>
      </c>
    </row>
    <row r="6" spans="1:6" x14ac:dyDescent="0.25">
      <c r="A6" t="s">
        <v>43</v>
      </c>
      <c r="B6" s="18">
        <f>Assumptions!B29*(1+B5)</f>
        <v>61772394940.36343</v>
      </c>
      <c r="C6" s="18">
        <f>B6*(1+C5)</f>
        <v>67089135795.98497</v>
      </c>
      <c r="D6" s="18">
        <f>C6*(1+D5)</f>
        <v>72863487747.19582</v>
      </c>
      <c r="E6" s="18">
        <f>D6*(1+E5)</f>
        <v>79134837313.01073</v>
      </c>
      <c r="F6" s="18">
        <f>E6*(1+F5)</f>
        <v>85945961004.2848</v>
      </c>
    </row>
    <row r="7" spans="1:6" x14ac:dyDescent="0.25">
      <c r="A7" t="s">
        <v>5</v>
      </c>
      <c r="B7" s="10">
        <f>Assumptions!B7</f>
        <v>0.04375219948921435</v>
      </c>
      <c r="C7" s="10">
        <f>Assumptions!B7</f>
        <v>0.04375219948921435</v>
      </c>
      <c r="D7" s="10">
        <f>Assumptions!B7</f>
        <v>0.04375219948921435</v>
      </c>
      <c r="E7" s="10">
        <f>Assumptions!B7</f>
        <v>0.04375219948921435</v>
      </c>
      <c r="F7" s="10">
        <f>Assumptions!B7</f>
        <v>0.04375219948921435</v>
      </c>
    </row>
    <row r="8" spans="1:6" x14ac:dyDescent="0.25">
      <c r="A8" t="s">
        <v>44</v>
      </c>
      <c r="B8" s="18">
        <f>B6*B7</f>
        <v>2702678146.3573155</v>
      </c>
      <c r="C8" s="18">
        <f>C6*C7</f>
        <v>2935297252.904926</v>
      </c>
      <c r="D8" s="18">
        <f>D6*D7</f>
        <v>3187937851.3952365</v>
      </c>
      <c r="E8" s="18">
        <f>E6*E7</f>
        <v>3462323188.6653686</v>
      </c>
      <c r="F8" s="18">
        <f>F6*F7</f>
        <v>3760324831.1517057</v>
      </c>
    </row>
    <row r="9" spans="1:6" x14ac:dyDescent="0.25">
      <c r="A9" t="s">
        <v>45</v>
      </c>
      <c r="B9" s="18">
        <f>B8*(1-Assumptions!B8)</f>
        <v>2005387184.5971282</v>
      </c>
      <c r="C9" s="18">
        <f>C8*(1-Assumptions!B8)</f>
        <v>2177990561.655455</v>
      </c>
      <c r="D9" s="18">
        <f>D8*(1-Assumptions!B8)</f>
        <v>2365449885.7352653</v>
      </c>
      <c r="E9" s="18">
        <f>E8*(1-Assumptions!B8)</f>
        <v>2569043805.9897037</v>
      </c>
      <c r="F9" s="18">
        <f>F8*(1-Assumptions!B8)</f>
        <v>2790161024.7145658</v>
      </c>
    </row>
    <row r="10" spans="1:6" x14ac:dyDescent="0.25">
      <c r="A10" t="s">
        <v>46</v>
      </c>
      <c r="B10" s="18">
        <f>B6*Assumptions!B9</f>
        <v>3484166223.052544</v>
      </c>
      <c r="C10" s="18">
        <f>C6*Assumptions!B9</f>
        <v>3784047892.2635884</v>
      </c>
      <c r="D10" s="18">
        <f>D6*Assumptions!B9</f>
        <v>4109740332.193262</v>
      </c>
      <c r="E10" s="18">
        <f>E6*Assumptions!B9</f>
        <v>4463465072.042874</v>
      </c>
      <c r="F10" s="18">
        <f>F6*Assumptions!B9</f>
        <v>4847634847.702061</v>
      </c>
    </row>
    <row r="11" spans="1:6" x14ac:dyDescent="0.25">
      <c r="A11" t="s">
        <v>47</v>
      </c>
      <c r="B11" s="18">
        <f>-B6*Assumptions!B10</f>
        <v>-3101598608.847095</v>
      </c>
      <c r="C11" s="18">
        <f>-C6*Assumptions!B10</f>
        <v>-3368552740.3376503</v>
      </c>
      <c r="D11" s="18">
        <f>-D6*Assumptions!B10</f>
        <v>-3658483574.266941</v>
      </c>
      <c r="E11" s="18">
        <f>-E6*Assumptions!B10</f>
        <v>-3973368712.0004554</v>
      </c>
      <c r="F11" s="18">
        <f>-F6*Assumptions!B10</f>
        <v>-4315355966.759416</v>
      </c>
    </row>
    <row r="12" spans="1:6" x14ac:dyDescent="0.25">
      <c r="A12" t="s">
        <v>48</v>
      </c>
      <c r="B12" s="18">
        <f>-(B6-Assumptions!B29)*Assumptions!B11</f>
        <v>4895394940.363426</v>
      </c>
      <c r="C12" s="18">
        <f>-(C6-B6)*Assumptions!B11</f>
        <v>5316740855.621544</v>
      </c>
      <c r="D12" s="18">
        <f>-(D6-C6)*Assumptions!B11</f>
        <v>5774351951.210846</v>
      </c>
      <c r="E12" s="18">
        <f>-(E6-D6)*Assumptions!B11</f>
        <v>6271349565.814911</v>
      </c>
      <c r="F12" s="18">
        <f>-(F6-E6)*Assumptions!B11</f>
        <v>6811123691.274078</v>
      </c>
    </row>
    <row r="13" spans="1:6" x14ac:dyDescent="0.25">
      <c r="A13" s="19" t="s">
        <v>49</v>
      </c>
      <c r="B13" s="20">
        <f>B9+B10+B11+B12</f>
        <v>7283349739.166004</v>
      </c>
      <c r="C13" s="20">
        <f>C9+C10+C11+C12</f>
        <v>7910226569.202937</v>
      </c>
      <c r="D13" s="20">
        <f>D9+D10+D11+D12</f>
        <v>8591058594.872433</v>
      </c>
      <c r="E13" s="20">
        <f>E9+E10+E11+E12</f>
        <v>9330489731.847033</v>
      </c>
      <c r="F13" s="20">
        <f>F9+F10+F11+F12</f>
        <v>10133563596.93129</v>
      </c>
    </row>
    <row r="14" spans="1:6" x14ac:dyDescent="0.25">
      <c r="A14" t="s">
        <v>50</v>
      </c>
      <c r="B14" s="21">
        <f>1/(1+Assumptions!$B$26)^(1-0.5*Assumptions!$B$32)</f>
        <v>0.9747134216173627</v>
      </c>
      <c r="C14" s="21">
        <f>1/(1+Assumptions!$B$26)^(2-0.5*Assumptions!$B$32)</f>
        <v>0.9260423294734512</v>
      </c>
      <c r="D14" s="21">
        <f>1/(1+Assumptions!$B$26)^(3-0.5*Assumptions!$B$32)</f>
        <v>0.8798015672685184</v>
      </c>
      <c r="E14" s="21">
        <f>1/(1+Assumptions!$B$26)^(4-0.5*Assumptions!$B$32)</f>
        <v>0.8358697795253782</v>
      </c>
      <c r="F14" s="21">
        <f>1/(1+Assumptions!$B$26)^(5-0.5*Assumptions!$B$32)</f>
        <v>0.794131670500384</v>
      </c>
    </row>
    <row r="15" spans="1:6" x14ac:dyDescent="0.25">
      <c r="A15" s="19" t="s">
        <v>51</v>
      </c>
      <c r="B15" s="20">
        <f>B13*B14</f>
        <v>7099178745.098422</v>
      </c>
      <c r="C15" s="20">
        <f>C13*C14</f>
        <v>7325204638.807474</v>
      </c>
      <c r="D15" s="20">
        <f>D13*D14</f>
        <v>7558426816.264442</v>
      </c>
      <c r="E15" s="20">
        <f>E13*E14</f>
        <v>7799074395.022784</v>
      </c>
      <c r="F15" s="20">
        <f>F13*F14</f>
        <v>8047383787.352925</v>
      </c>
    </row>
    <row r="17" spans="1:2" x14ac:dyDescent="0.25">
      <c r="A17" s="22" t="s">
        <v>52</v>
      </c>
      <c r="B17" s="23">
        <f>SUM(B15:F15)</f>
        <v>37829268382.54605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10133563596.93129</v>
      </c>
    </row>
    <row r="5" spans="1:2" x14ac:dyDescent="0.25">
      <c r="A5" t="s">
        <v>56</v>
      </c>
      <c r="B5" s="18">
        <f>IF(Assumptions!$B$33=0,B4,B4-Forecast!F11-Forecast!F10-Forecast!F12)</f>
        <v>2790161024.7145658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0.33510374670580145</v>
      </c>
    </row>
    <row r="7" spans="1:2" x14ac:dyDescent="0.25">
      <c r="A7" t="s">
        <v>58</v>
      </c>
      <c r="B7" s="18">
        <f>-MAX(Forecast!F9,0)*B6</f>
        <v>-934993413.2943493</v>
      </c>
    </row>
    <row r="8" spans="1:2" x14ac:dyDescent="0.25">
      <c r="A8" t="s">
        <v>59</v>
      </c>
      <c r="B8" s="18">
        <f>IF(OR(Assumptions!$B$33=0,Assumptions!B12&lt;=0),B5,MAX(B5+B7,0))</f>
        <v>1855167611.4202166</v>
      </c>
    </row>
    <row r="9" spans="1:2" x14ac:dyDescent="0.25">
      <c r="A9" t="s">
        <v>60</v>
      </c>
      <c r="B9" s="18">
        <f>B8*(1+Assumptions!B12)/(Assumptions!B26-Assumptions!B12)</f>
        <v>69001194758.05827</v>
      </c>
    </row>
    <row r="10" spans="1:2" x14ac:dyDescent="0.25">
      <c r="A10" t="s">
        <v>61</v>
      </c>
      <c r="B10" s="18">
        <f>B9/(1+Assumptions!B26)^(5-0.5*Assumptions!B32)</f>
        <v>54796034059.73916</v>
      </c>
    </row>
    <row r="11" spans="1:2" x14ac:dyDescent="0.25">
      <c r="A11" t="s">
        <v>62</v>
      </c>
      <c r="B11" s="18">
        <f>Forecast!B17+B10</f>
        <v>92625302442.28522</v>
      </c>
    </row>
    <row r="12" spans="1:2" x14ac:dyDescent="0.25">
      <c r="A12" t="s">
        <v>63</v>
      </c>
      <c r="B12" s="18">
        <f>-Assumptions!B30</f>
        <v>-7633000000</v>
      </c>
    </row>
    <row r="13" spans="1:2" x14ac:dyDescent="0.25">
      <c r="A13" t="s">
        <v>64</v>
      </c>
      <c r="B13" s="18">
        <f>B11+B12</f>
        <v>84992302442.28522</v>
      </c>
    </row>
    <row r="14" spans="1:2" x14ac:dyDescent="0.25">
      <c r="A14" s="19" t="s">
        <v>65</v>
      </c>
      <c r="B14" s="24">
        <f>B13/Assumptions!B31</f>
        <v>222.33219448206484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8607959678.853767</v>
      </c>
    </row>
    <row r="18" spans="1:2" x14ac:dyDescent="0.25">
      <c r="A18" t="s">
        <v>60</v>
      </c>
      <c r="B18" s="18">
        <f>B17*Assumptions!B13</f>
        <v>34272352250.09138</v>
      </c>
    </row>
    <row r="19" spans="1:2" x14ac:dyDescent="0.25">
      <c r="A19" t="s">
        <v>61</v>
      </c>
      <c r="B19" s="18">
        <f>B18/(1+Assumptions!B26)^(5-0.5*Assumptions!B32)</f>
        <v>27216760344.342663</v>
      </c>
    </row>
    <row r="20" spans="1:2" x14ac:dyDescent="0.25">
      <c r="A20" t="s">
        <v>62</v>
      </c>
      <c r="B20" s="18">
        <f>Forecast!B17+B19</f>
        <v>65046028726.88872</v>
      </c>
    </row>
    <row r="21" spans="1:2" x14ac:dyDescent="0.25">
      <c r="A21" t="s">
        <v>63</v>
      </c>
      <c r="B21" s="18">
        <f>-Assumptions!B30</f>
        <v>-7633000000</v>
      </c>
    </row>
    <row r="22" spans="1:2" x14ac:dyDescent="0.25">
      <c r="A22" t="s">
        <v>64</v>
      </c>
      <c r="B22" s="18">
        <f>B20+B21</f>
        <v>57413028726.88872</v>
      </c>
    </row>
    <row r="23" spans="1:2" x14ac:dyDescent="0.25">
      <c r="A23" s="19" t="s">
        <v>65</v>
      </c>
      <c r="B23" s="25">
        <f>B22/Assumptions!B31</f>
        <v>150.18730287226924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43.38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222.33219448206484</v>
      </c>
    </row>
    <row r="29" spans="1:2" x14ac:dyDescent="0.25">
      <c r="A29" s="19" t="s">
        <v>73</v>
      </c>
      <c r="B29" s="12">
        <f>B28/B26-1</f>
        <v>4.125223478148105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0.032558</v>
      </c>
      <c r="B5" s="31">
        <v>375.8529166007031</v>
      </c>
      <c r="C5" s="31">
        <v>459.66130937302756</v>
      </c>
      <c r="D5" s="31">
        <v>653.7963755418098</v>
      </c>
      <c r="E5" s="31">
        <v>1605.208897338037</v>
      </c>
      <c r="F5" s="31" t="s">
        <v>76</v>
      </c>
    </row>
    <row r="6" spans="1:6" x14ac:dyDescent="0.25">
      <c r="A6" s="30">
        <v>0.042558</v>
      </c>
      <c r="B6" s="31">
        <v>259.49671361663184</v>
      </c>
      <c r="C6" s="31">
        <v>281.69602505204034</v>
      </c>
      <c r="D6" s="31">
        <v>316.30779422073897</v>
      </c>
      <c r="E6" s="31">
        <v>378.15817703922346</v>
      </c>
      <c r="F6" s="31">
        <v>521.3063432278943</v>
      </c>
    </row>
    <row r="7" spans="1:6" x14ac:dyDescent="0.25">
      <c r="A7" s="30">
        <v>0.052558</v>
      </c>
      <c r="B7" s="31">
        <v>204.13802833770825</v>
      </c>
      <c r="C7" s="31">
        <v>211.89815215484677</v>
      </c>
      <c r="D7" s="32">
        <v>222.33323671183152</v>
      </c>
      <c r="E7" s="31">
        <v>237.2220040184902</v>
      </c>
      <c r="F7" s="31">
        <v>260.36928613115674</v>
      </c>
    </row>
    <row r="8" spans="1:6" x14ac:dyDescent="0.25">
      <c r="A8" s="30">
        <v>0.062558</v>
      </c>
      <c r="B8" s="31">
        <v>171.34563532217012</v>
      </c>
      <c r="C8" s="31">
        <v>174.07219068973313</v>
      </c>
      <c r="D8" s="31">
        <v>177.425582241542</v>
      </c>
      <c r="E8" s="31">
        <v>181.69460360016836</v>
      </c>
      <c r="F8" s="31">
        <v>187.37763806999808</v>
      </c>
    </row>
    <row r="9" spans="1:6" x14ac:dyDescent="0.25">
      <c r="A9" s="30">
        <v>0.072558</v>
      </c>
      <c r="B9" s="31">
        <v>149.39345343428525</v>
      </c>
      <c r="C9" s="31">
        <v>150.00925119022492</v>
      </c>
      <c r="D9" s="31">
        <v>150.6794835979965</v>
      </c>
      <c r="E9" s="31">
        <v>151.42333670434746</v>
      </c>
      <c r="F9" s="31">
        <v>152.27021331237412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56877000000</v>
      </c>
      <c r="C5" s="18">
        <v>56752000000</v>
      </c>
      <c r="D5" s="18">
        <v>56017000000</v>
      </c>
      <c r="E5" s="18">
        <v>44398000000</v>
      </c>
      <c r="F5" s="8" t="s">
        <v>85</v>
      </c>
    </row>
    <row r="6" spans="1:6" x14ac:dyDescent="0.25">
      <c r="A6" t="s">
        <v>44</v>
      </c>
      <c r="B6" s="18">
        <v>2730000000</v>
      </c>
      <c r="C6" s="18">
        <v>2646000000</v>
      </c>
      <c r="D6" s="18">
        <v>2237000000</v>
      </c>
      <c r="E6" s="18">
        <v>1796000000</v>
      </c>
      <c r="F6" s="8" t="s">
        <v>86</v>
      </c>
    </row>
    <row r="7" spans="1:6" x14ac:dyDescent="0.25">
      <c r="A7" t="s">
        <v>87</v>
      </c>
      <c r="B7" s="18">
        <v>3352000000</v>
      </c>
      <c r="C7" s="18">
        <v>3074000000</v>
      </c>
      <c r="D7" s="18">
        <v>2915000000</v>
      </c>
      <c r="E7" s="18">
        <v>2685000000</v>
      </c>
      <c r="F7" s="8" t="s">
        <v>88</v>
      </c>
    </row>
    <row r="8" spans="1:6" x14ac:dyDescent="0.25">
      <c r="A8" t="s">
        <v>89</v>
      </c>
      <c r="B8" s="18">
        <v>2501000000</v>
      </c>
      <c r="C8" s="18">
        <v>2714000000</v>
      </c>
      <c r="D8" s="18">
        <v>2664000000</v>
      </c>
      <c r="E8" s="18">
        <v>2730000000</v>
      </c>
      <c r="F8" s="8" t="s">
        <v>90</v>
      </c>
    </row>
    <row r="9" spans="1:6" x14ac:dyDescent="0.25">
      <c r="A9" t="s">
        <v>91</v>
      </c>
      <c r="B9" s="18">
        <v>-954000000</v>
      </c>
      <c r="C9" s="18">
        <v>-776000000</v>
      </c>
      <c r="D9" s="18">
        <v>-1148000000</v>
      </c>
      <c r="E9" s="18">
        <v>606000000</v>
      </c>
      <c r="F9" s="8" t="s">
        <v>92</v>
      </c>
    </row>
    <row r="10" spans="1:6" x14ac:dyDescent="0.25">
      <c r="A10" t="s">
        <v>93</v>
      </c>
      <c r="B10" s="18">
        <v>15168000000</v>
      </c>
      <c r="C10" s="18">
        <v>14742000000</v>
      </c>
      <c r="D10" s="18">
        <v>14834000000</v>
      </c>
      <c r="E10" s="18">
        <v>15970000000</v>
      </c>
      <c r="F10" s="8" t="s">
        <v>94</v>
      </c>
    </row>
    <row r="11" spans="1:6" x14ac:dyDescent="0.25">
      <c r="A11" t="s">
        <v>95</v>
      </c>
      <c r="B11" s="18">
        <v>7535000000</v>
      </c>
      <c r="C11" s="18">
        <v>5567000000</v>
      </c>
      <c r="D11" s="18">
        <v>5548000000</v>
      </c>
      <c r="E11" s="18">
        <v>5736000000</v>
      </c>
      <c r="F11" s="8" t="s">
        <v>96</v>
      </c>
    </row>
    <row r="12" spans="1:6" x14ac:dyDescent="0.25">
      <c r="A12" t="s">
        <v>32</v>
      </c>
      <c r="B12" s="34">
        <v>382276182</v>
      </c>
      <c r="C12" s="34">
        <v>377842810</v>
      </c>
      <c r="D12" s="34">
        <v>375451264</v>
      </c>
      <c r="E12" s="34">
        <v>381180055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2026-09-19T00:07:14Z</dcterms:modified>
</cp:coreProperties>
</file>