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<sst xmlns="http://schemas.openxmlformats.org/spreadsheetml/2006/main" count="114" uniqueCount="102">
  <si>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Enel SpA (ENEL.MI)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</si>
  <si>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</si>
  <si>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</si>
  <si>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</si>
  <si>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</si>
  <si>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</si>
  <si>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</si>
  <si>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</si>
  <si>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</si>
  <si>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</si>
  <si>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</si>
  <si>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</si>
  <si>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</si>
  <si>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</si>
  <si>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</si>
  <si>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</si>
  <si>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</si>
  <si>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</si>
  <si>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</si>
  <si>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</si>
  <si>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</si>
  <si>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</si>
  <si>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</si>
  <si>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</si>
  <si>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</si>
  <si>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</si>
  <si>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</si>
  <si>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</si>
  <si>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</si>
  <si>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</si>
  <si>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</si>
  <si>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</si>
  <si>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</si>
  <si>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</si>
  <si>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</si>
  <si>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</si>
  <si>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</si>
  <si>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</si>
  <si>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</si>
  <si>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</si>
  <si>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</si>
  <si>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</si>
  <si>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</si>
  <si>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</si>
  <si>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</si>
  <si>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</si>
  <si>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</si>
  <si>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</si>
  <si>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</si>
  <si>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</si>
  <si>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</si>
  <si>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</si>
  <si>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</si>
  <si>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</si>
  <si>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</si>
  <si>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</si>
  <si>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</si>
  <si>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</si>
  <si>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</si>
  <si>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</si>
  <si>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</si>
  <si>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</si>
  <si>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</si>
  <si>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</si>
  <si>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</si>
  <si>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</si>
  <si>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</si>
  <si>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</si>
  <si>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</si>
  <si>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</si>
  <si>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</si>
  <si>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</si>
  <si>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</si>
  <si>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</si>
  <si>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</si>
  <si>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</si>
  <si>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</si>
  <si>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</si>
  <si>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</si>
  <si>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</si>
  <si>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</si>
  <si>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</si>
  <si>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</si>
  <si>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</si>
  <si>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</si>
  <si>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</si>
  <si>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</si>
  <si>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</si>
  <si>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</si>
  <si>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</si>
  <si>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</si>
  <si>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</si>
  <si>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</si>
  <si>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</si>
  <si>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</si>
  <si>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</si>
  <si>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</si>
  <si>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</si>
  <si>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</si>
  <si>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14.3% of revenue against depreciation of 10.6%.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</si>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</sst>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-0.13066053296483437</v>
      </c>
    </row>
    <row r="7" spans="1:2" x14ac:dyDescent="0.25">
      <c r="A7" t="s">
        <v>5</v>
      </c>
      <c r="B7" s="6">
        <v>0.013209602313228395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0.10585549459815452</v>
      </c>
    </row>
    <row r="10" spans="1:2" x14ac:dyDescent="0.25">
      <c r="A10" t="s">
        <v>8</v>
      </c>
      <c r="B10" s="6">
        <v>0.14260608739595237</v>
      </c>
    </row>
    <row r="11" spans="1:2" x14ac:dyDescent="0.25">
      <c r="A11" t="s">
        <v>9</v>
      </c>
      <c r="B11" s="6">
        <v>0.02270042194092827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11.465734738907196</v>
      </c>
    </row>
    <row r="14" spans="1:3" x14ac:dyDescent="0.25">
      <c r="A14" t="s">
        <v>12</v>
      </c>
      <c r="B14" s="6">
        <v>0.07128888516276274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0.92697</v>
      </c>
      <c r="C19" s="8" t="s">
        <v>19</v>
      </c>
    </row>
    <row r="20" spans="1:2" x14ac:dyDescent="0.25">
      <c r="A20" t="s">
        <v>20</v>
      </c>
      <c r="B20" s="10">
        <f>B17+B19*B18</f>
        <v>0.10225305000000001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87986372608</v>
      </c>
    </row>
    <row r="23" spans="1:2" x14ac:dyDescent="0.25">
      <c r="A23" t="s">
        <v>24</v>
      </c>
      <c r="B23" s="11">
        <v>68472000000</v>
      </c>
    </row>
    <row r="24" spans="1:2" x14ac:dyDescent="0.25">
      <c r="A24" t="s">
        <v>25</v>
      </c>
      <c r="B24" s="10">
        <f>B22/(B22+B23)</f>
        <v>0.5623628262352327</v>
      </c>
    </row>
    <row r="25" spans="1:2" x14ac:dyDescent="0.25">
      <c r="A25" t="s">
        <v>26</v>
      </c>
      <c r="B25" s="10">
        <f>1-B24</f>
        <v>0.4376371737647673</v>
      </c>
    </row>
    <row r="26" spans="1:2" x14ac:dyDescent="0.25">
      <c r="A26" t="s">
        <v>27</v>
      </c>
      <c r="B26" s="12">
        <f>B24*B20+B25*B21*(1-B8)</f>
        <v>0.07128888516276274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67452000000</v>
      </c>
      <c r="C29" s="8" t="s">
        <v>30</v>
      </c>
    </row>
    <row r="30" spans="1:2" x14ac:dyDescent="0.25">
      <c r="A30" t="s">
        <v>31</v>
      </c>
      <c r="B30" s="11">
        <v>61630000000</v>
      </c>
    </row>
    <row r="31" spans="1:2" x14ac:dyDescent="0.25">
      <c r="A31" t="s">
        <v>32</v>
      </c>
      <c r="B31" s="13">
        <v>10833333333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-0.13066053296483437</v>
      </c>
      <c r="C5" s="10">
        <f>Assumptions!B6</f>
        <v>-0.13066053296483437</v>
      </c>
      <c r="D5" s="10">
        <f>Assumptions!B6</f>
        <v>-0.13066053296483437</v>
      </c>
      <c r="E5" s="10">
        <f>Assumptions!B6</f>
        <v>-0.13066053296483437</v>
      </c>
      <c r="F5" s="10">
        <f>Assumptions!B6</f>
        <v>-0.13066053296483437</v>
      </c>
    </row>
    <row r="6" spans="1:6" x14ac:dyDescent="0.25">
      <c r="A6" t="s">
        <v>43</v>
      </c>
      <c r="B6" s="18">
        <f>Assumptions!B29*(1+B5)</f>
        <v>58638685730.45599</v>
      </c>
      <c r="C6" s="18">
        <f>B6*(1+C5)</f>
        <v>50976923800.55718</v>
      </c>
      <c r="D6" s="18">
        <f>C6*(1+D5)</f>
        <v>44316251767.86863</v>
      </c>
      <c r="E6" s="18">
        <f>D6*(1+E5)</f>
        <v>38525866692.87513</v>
      </c>
      <c r="F6" s="18">
        <f>E6*(1+F5)</f>
        <v>33492056417.851906</v>
      </c>
    </row>
    <row r="7" spans="1:6" x14ac:dyDescent="0.25">
      <c r="A7" t="s">
        <v>5</v>
      </c>
      <c r="B7" s="10">
        <f>Assumptions!B7</f>
        <v>0.013209602313228395</v>
      </c>
      <c r="C7" s="10">
        <f>Assumptions!B7</f>
        <v>0.013209602313228395</v>
      </c>
      <c r="D7" s="10">
        <f>Assumptions!B7</f>
        <v>0.013209602313228395</v>
      </c>
      <c r="E7" s="10">
        <f>Assumptions!B7</f>
        <v>0.013209602313228395</v>
      </c>
      <c r="F7" s="10">
        <f>Assumptions!B7</f>
        <v>0.013209602313228395</v>
      </c>
    </row>
    <row r="8" spans="1:6" x14ac:dyDescent="0.25">
      <c r="A8" t="s">
        <v>44</v>
      </c>
      <c r="B8" s="18">
        <f>B6*B7</f>
        <v>774593718.6697044</v>
      </c>
      <c r="C8" s="18">
        <f>C6*C7</f>
        <v>673384890.5571078</v>
      </c>
      <c r="D8" s="18">
        <f>D6*D7</f>
        <v>585400061.8664495</v>
      </c>
      <c r="E8" s="18">
        <f>E6*E7</f>
        <v>508911377.7853321</v>
      </c>
      <c r="F8" s="18">
        <f>F6*F7</f>
        <v>442416745.93203247</v>
      </c>
    </row>
    <row r="9" spans="1:6" x14ac:dyDescent="0.25">
      <c r="A9" t="s">
        <v>45</v>
      </c>
      <c r="B9" s="18">
        <f>B8*(1-Assumptions!B8)</f>
        <v>580945289.0022783</v>
      </c>
      <c r="C9" s="18">
        <f>C8*(1-Assumptions!B8)</f>
        <v>505038667.9178308</v>
      </c>
      <c r="D9" s="18">
        <f>D8*(1-Assumptions!B8)</f>
        <v>439050046.39983714</v>
      </c>
      <c r="E9" s="18">
        <f>E8*(1-Assumptions!B8)</f>
        <v>381683533.33899903</v>
      </c>
      <c r="F9" s="18">
        <f>F8*(1-Assumptions!B8)</f>
        <v>331812559.4490243</v>
      </c>
    </row>
    <row r="10" spans="1:6" x14ac:dyDescent="0.25">
      <c r="A10" t="s">
        <v>46</v>
      </c>
      <c r="B10" s="18">
        <f>B6*Assumptions!B9</f>
        <v>6207227080.583165</v>
      </c>
      <c r="C10" s="18">
        <f>C6*Assumptions!B9</f>
        <v>5396187482.000416</v>
      </c>
      <c r="D10" s="18">
        <f>D6*Assumptions!B9</f>
        <v>4691118749.624073</v>
      </c>
      <c r="E10" s="18">
        <f>E6*Assumptions!B9</f>
        <v>4078174673.596864</v>
      </c>
      <c r="F10" s="18">
        <f>F6*Assumptions!B9</f>
        <v>3545318197.221009</v>
      </c>
    </row>
    <row r="11" spans="1:6" x14ac:dyDescent="0.25">
      <c r="A11" t="s">
        <v>47</v>
      </c>
      <c r="B11" s="18">
        <f>-B6*Assumptions!B10</f>
        <v>-8362233542.0611925</v>
      </c>
      <c r="C11" s="18">
        <f>-C6*Assumptions!B10</f>
        <v>-7269619650.679062</v>
      </c>
      <c r="D11" s="18">
        <f>-D6*Assumptions!B10</f>
        <v>-6319767272.669703</v>
      </c>
      <c r="E11" s="18">
        <f>-E6*Assumptions!B10</f>
        <v>-5494023112.608961</v>
      </c>
      <c r="F11" s="18">
        <f>-F6*Assumptions!B10</f>
        <v>-4776171124.594357</v>
      </c>
    </row>
    <row r="12" spans="1:6" x14ac:dyDescent="0.25">
      <c r="A12" t="s">
        <v>48</v>
      </c>
      <c r="B12" s="18">
        <f>-(B6-Assumptions!B29)*Assumptions!B11</f>
        <v>200065952.616653</v>
      </c>
      <c r="C12" s="18">
        <f>-(C6-B6)*Assumptions!B11</f>
        <v>173925228.61964393</v>
      </c>
      <c r="D12" s="18">
        <f>-(D6-C6)*Assumptions!B11</f>
        <v>151200065.55217054</v>
      </c>
      <c r="E12" s="18">
        <f>-(E6-D6)*Assumptions!B11</f>
        <v>131444184.40280603</v>
      </c>
      <c r="F12" s="18">
        <f>-(F6-E6)*Assumptions!B11</f>
        <v>114269617.21360737</v>
      </c>
    </row>
    <row r="13" spans="1:6" x14ac:dyDescent="0.25">
      <c r="A13" s="19" t="s">
        <v>49</v>
      </c>
      <c r="B13" s="20">
        <f>B9+B10+B11+B12</f>
        <v>-1373995219.859096</v>
      </c>
      <c r="C13" s="20">
        <f>C9+C10+C11+C12</f>
        <v>-1194468272.1411717</v>
      </c>
      <c r="D13" s="20">
        <f>D9+D10+D11+D12</f>
        <v>-1038398411.0936215</v>
      </c>
      <c r="E13" s="20">
        <f>E9+E10+E11+E12</f>
        <v>-902720721.2702916</v>
      </c>
      <c r="F13" s="20">
        <f>F9+F10+F11+F12</f>
        <v>-784770750.7107162</v>
      </c>
    </row>
    <row r="14" spans="1:6" x14ac:dyDescent="0.25">
      <c r="A14" t="s">
        <v>50</v>
      </c>
      <c r="B14" s="21">
        <f>1/(1+Assumptions!$B$26)^(1-0.5*Assumptions!$B$32)</f>
        <v>0.9661547657895198</v>
      </c>
      <c r="C14" s="21">
        <f>1/(1+Assumptions!$B$26)^(2-0.5*Assumptions!$B$32)</f>
        <v>0.9018620272931613</v>
      </c>
      <c r="D14" s="21">
        <f>1/(1+Assumptions!$B$26)^(3-0.5*Assumptions!$B$32)</f>
        <v>0.8418476470575348</v>
      </c>
      <c r="E14" s="21">
        <f>1/(1+Assumptions!$B$26)^(4-0.5*Assumptions!$B$32)</f>
        <v>0.7858269218667675</v>
      </c>
      <c r="F14" s="21">
        <f>1/(1+Assumptions!$B$26)^(5-0.5*Assumptions!$B$32)</f>
        <v>0.7335340940715309</v>
      </c>
    </row>
    <row r="15" spans="1:6" x14ac:dyDescent="0.25">
      <c r="A15" s="19" t="s">
        <v>51</v>
      </c>
      <c r="B15" s="20">
        <f>B13*B14</f>
        <v>-1327492029.8388846</v>
      </c>
      <c r="C15" s="20">
        <f>C13*C14</f>
        <v>-1077245577.4505966</v>
      </c>
      <c r="D15" s="20">
        <f>D13*D14</f>
        <v>-874173259.087448</v>
      </c>
      <c r="E15" s="20">
        <f>E13*E14</f>
        <v>-709382245.7011814</v>
      </c>
      <c r="F15" s="20">
        <f>F13*F14</f>
        <v>-575656101.6764205</v>
      </c>
    </row>
    <row r="17" spans="1:2" x14ac:dyDescent="0.25">
      <c r="A17" s="22" t="s">
        <v>52</v>
      </c>
      <c r="B17" s="23">
        <f>SUM(B15:F15)</f>
        <v>-4563949213.754531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-784770750.7107162</v>
      </c>
    </row>
    <row r="5" spans="1:2" x14ac:dyDescent="0.25">
      <c r="A5" t="s">
        <v>56</v>
      </c>
      <c r="B5" s="18">
        <f>IF(Assumptions!$B$33=0,B4,B4-Forecast!F11-Forecast!F10-Forecast!F12)</f>
        <v>490475422.79245186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0.35068580386579784</v>
      </c>
    </row>
    <row r="7" spans="1:2" x14ac:dyDescent="0.25">
      <c r="A7" t="s">
        <v>58</v>
      </c>
      <c r="B7" s="18">
        <f>-MAX(Forecast!F9,0)*B6</f>
        <v>-172002767.91838804</v>
      </c>
    </row>
    <row r="8" spans="1:2" x14ac:dyDescent="0.25">
      <c r="A8" t="s">
        <v>59</v>
      </c>
      <c r="B8" s="18">
        <f>IF(OR(Assumptions!$B$33=0,Assumptions!B12&lt;=0),B5,MAX(B5+B7,0))</f>
        <v>318472654.87406385</v>
      </c>
    </row>
    <row r="9" spans="1:2" x14ac:dyDescent="0.25">
      <c r="A9" t="s">
        <v>60</v>
      </c>
      <c r="B9" s="18">
        <f>B8*(1+Assumptions!B12)/(Assumptions!B26-Assumptions!B12)</f>
        <v>7052113484.65391</v>
      </c>
    </row>
    <row r="10" spans="1:2" x14ac:dyDescent="0.25">
      <c r="A10" t="s">
        <v>61</v>
      </c>
      <c r="B10" s="18">
        <f>B9/(1+Assumptions!B26)^(5-0.5*Assumptions!B32)</f>
        <v>5172965676.255233</v>
      </c>
    </row>
    <row r="11" spans="1:2" x14ac:dyDescent="0.25">
      <c r="A11" t="s">
        <v>62</v>
      </c>
      <c r="B11" s="18">
        <f>Forecast!B17+B10</f>
        <v>609016462.5007019</v>
      </c>
    </row>
    <row r="12" spans="1:2" x14ac:dyDescent="0.25">
      <c r="A12" t="s">
        <v>63</v>
      </c>
      <c r="B12" s="18">
        <f>-Assumptions!B30</f>
        <v>-61630000000</v>
      </c>
    </row>
    <row r="13" spans="1:2" x14ac:dyDescent="0.25">
      <c r="A13" t="s">
        <v>64</v>
      </c>
      <c r="B13" s="18">
        <f>B11+B12</f>
        <v>-61020983537.4993</v>
      </c>
    </row>
    <row r="14" spans="1:2" x14ac:dyDescent="0.25">
      <c r="A14" s="19" t="s">
        <v>65</v>
      </c>
      <c r="B14" s="24">
        <f>B13/Assumptions!B31</f>
        <v>-5.632706172865557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3987734943.1530414</v>
      </c>
    </row>
    <row r="18" spans="1:2" x14ac:dyDescent="0.25">
      <c r="A18" t="s">
        <v>60</v>
      </c>
      <c r="B18" s="18">
        <f>B17*Assumptions!B13</f>
        <v>45722311067.26394</v>
      </c>
    </row>
    <row r="19" spans="1:2" x14ac:dyDescent="0.25">
      <c r="A19" t="s">
        <v>61</v>
      </c>
      <c r="B19" s="18">
        <f>B18/(1+Assumptions!B26)^(5-0.5*Assumptions!B32)</f>
        <v>33538874027.582184</v>
      </c>
    </row>
    <row r="20" spans="1:2" x14ac:dyDescent="0.25">
      <c r="A20" t="s">
        <v>62</v>
      </c>
      <c r="B20" s="18">
        <f>Forecast!B17+B19</f>
        <v>28974924813.827652</v>
      </c>
    </row>
    <row r="21" spans="1:2" x14ac:dyDescent="0.25">
      <c r="A21" t="s">
        <v>63</v>
      </c>
      <c r="B21" s="18">
        <f>-Assumptions!B30</f>
        <v>-61630000000</v>
      </c>
    </row>
    <row r="22" spans="1:2" x14ac:dyDescent="0.25">
      <c r="A22" t="s">
        <v>64</v>
      </c>
      <c r="B22" s="18">
        <f>B20+B21</f>
        <v>-32655075186.172348</v>
      </c>
    </row>
    <row r="23" spans="1:2" x14ac:dyDescent="0.25">
      <c r="A23" s="19" t="s">
        <v>65</v>
      </c>
      <c r="B23" s="25">
        <f>B22/Assumptions!B31</f>
        <v>-3.0143146326625034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8.869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-5.632706172865557</v>
      </c>
    </row>
    <row r="29" spans="1:2" x14ac:dyDescent="0.25">
      <c r="A29" s="19" t="s">
        <v>73</v>
      </c>
      <c r="B29" s="12">
        <f>B28/B26-1</f>
        <v>-1.6351004817753476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0.051289</v>
      </c>
      <c r="B5" s="31">
        <v>-5.4118846795366595</v>
      </c>
      <c r="C5" s="31">
        <v>-5.408360553958752</v>
      </c>
      <c r="D5" s="31">
        <v>-5.404836428380844</v>
      </c>
      <c r="E5" s="31">
        <v>-5.401312302802936</v>
      </c>
      <c r="F5" s="31">
        <v>-5.397788177225029</v>
      </c>
    </row>
    <row r="6" spans="1:6" x14ac:dyDescent="0.25">
      <c r="A6" s="30">
        <v>0.061289</v>
      </c>
      <c r="B6" s="31">
        <v>-5.5448820998804775</v>
      </c>
      <c r="C6" s="31">
        <v>-5.542055976422624</v>
      </c>
      <c r="D6" s="31">
        <v>-5.53922985296477</v>
      </c>
      <c r="E6" s="31">
        <v>-5.536403729506915</v>
      </c>
      <c r="F6" s="31">
        <v>-5.533577606049061</v>
      </c>
    </row>
    <row r="7" spans="1:6" x14ac:dyDescent="0.25">
      <c r="A7" s="30">
        <v>0.071289</v>
      </c>
      <c r="B7" s="31">
        <v>-5.63736564898934</v>
      </c>
      <c r="C7" s="31">
        <v>-5.635036363504257</v>
      </c>
      <c r="D7" s="32">
        <v>-5.632707078019177</v>
      </c>
      <c r="E7" s="31">
        <v>-5.630377792534095</v>
      </c>
      <c r="F7" s="31">
        <v>-5.628048507049014</v>
      </c>
    </row>
    <row r="8" spans="1:6" x14ac:dyDescent="0.25">
      <c r="A8" s="30">
        <v>0.081289</v>
      </c>
      <c r="B8" s="31">
        <v>-5.7044464642467245</v>
      </c>
      <c r="C8" s="31">
        <v>-5.702487369973063</v>
      </c>
      <c r="D8" s="31">
        <v>-5.700528275699403</v>
      </c>
      <c r="E8" s="31">
        <v>-5.698569181425742</v>
      </c>
      <c r="F8" s="31">
        <v>-5.696610087152081</v>
      </c>
    </row>
    <row r="9" spans="1:6" x14ac:dyDescent="0.25">
      <c r="A9" s="30">
        <v>0.091289</v>
      </c>
      <c r="B9" s="31">
        <v>-5.754605053832876</v>
      </c>
      <c r="C9" s="31">
        <v>-5.752931353512333</v>
      </c>
      <c r="D9" s="31">
        <v>-5.751257653191792</v>
      </c>
      <c r="E9" s="31">
        <v>-5.749583952871251</v>
      </c>
      <c r="F9" s="31">
        <v>-5.747910252550709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67452000000</v>
      </c>
      <c r="C5" s="18">
        <v>70649000000</v>
      </c>
      <c r="D5" s="18">
        <v>82499000000</v>
      </c>
      <c r="E5" s="18">
        <v>102666000000</v>
      </c>
      <c r="F5" s="8" t="s">
        <v>84</v>
      </c>
    </row>
    <row r="6" spans="1:6" x14ac:dyDescent="0.25">
      <c r="A6" t="s">
        <v>44</v>
      </c>
      <c r="B6" s="18">
        <v>3571000000</v>
      </c>
      <c r="C6" s="18">
        <v>10851000000</v>
      </c>
      <c r="D6" s="18">
        <v>6050000000</v>
      </c>
      <c r="E6" s="18">
        <v>-23308000000</v>
      </c>
      <c r="F6" s="8" t="s">
        <v>85</v>
      </c>
    </row>
    <row r="7" spans="1:6" x14ac:dyDescent="0.25">
      <c r="A7" t="s">
        <v>86</v>
      </c>
      <c r="B7" s="18">
        <v>9478000000</v>
      </c>
      <c r="C7" s="18">
        <v>6683000000</v>
      </c>
      <c r="D7" s="18">
        <v>8457000000</v>
      </c>
      <c r="E7" s="18">
        <v>8809000000</v>
      </c>
      <c r="F7" s="8" t="s">
        <v>87</v>
      </c>
    </row>
    <row r="8" spans="1:6" x14ac:dyDescent="0.25">
      <c r="A8" t="s">
        <v>88</v>
      </c>
      <c r="B8" s="18">
        <v>9631000000</v>
      </c>
      <c r="C8" s="18">
        <v>10166000000</v>
      </c>
      <c r="D8" s="18">
        <v>12768000000</v>
      </c>
      <c r="E8" s="18">
        <v>13242000000</v>
      </c>
      <c r="F8" s="8" t="s">
        <v>89</v>
      </c>
    </row>
    <row r="9" spans="1:6" x14ac:dyDescent="0.25">
      <c r="A9" t="s">
        <v>90</v>
      </c>
      <c r="B9" s="18">
        <v>480000000</v>
      </c>
      <c r="C9" s="18">
        <v>-269000000</v>
      </c>
      <c r="D9" s="18">
        <v>-799000000</v>
      </c>
      <c r="E9" s="18">
        <v>3158000000</v>
      </c>
      <c r="F9" s="8" t="s">
        <v>91</v>
      </c>
    </row>
    <row r="10" spans="1:6" x14ac:dyDescent="0.25">
      <c r="A10" t="s">
        <v>92</v>
      </c>
      <c r="B10" s="18">
        <v>68472000000</v>
      </c>
      <c r="C10" s="18">
        <v>70352000000</v>
      </c>
      <c r="D10" s="18">
        <v>73557000000</v>
      </c>
      <c r="E10" s="18">
        <v>87905000000</v>
      </c>
      <c r="F10" s="8" t="s">
        <v>93</v>
      </c>
    </row>
    <row r="11" spans="1:6" x14ac:dyDescent="0.25">
      <c r="A11" t="s">
        <v>94</v>
      </c>
      <c r="B11" s="18">
        <v>6842000000</v>
      </c>
      <c r="C11" s="18">
        <v>10923000000</v>
      </c>
      <c r="D11" s="18">
        <v>8231000000</v>
      </c>
      <c r="E11" s="18">
        <v>16475000000</v>
      </c>
      <c r="F11" s="8" t="s">
        <v>95</v>
      </c>
    </row>
    <row r="12" spans="1:6" x14ac:dyDescent="0.25">
      <c r="A12" t="s">
        <v>32</v>
      </c>
      <c r="B12" s="34">
        <v>10833333333</v>
      </c>
      <c r="C12" s="34">
        <v>10471641791</v>
      </c>
      <c r="D12" s="34">
        <v>10743750000</v>
      </c>
      <c r="E12" s="34">
        <v>10160538038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