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<sst xmlns="http://schemas.openxmlformats.org/spreadsheetml/2006/main" count="113" uniqueCount="101">
  <si>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Enagás, S.A. (ENG.MC)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</si>
  <si>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</si>
  <si>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</si>
  <si>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</si>
  <si>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</si>
  <si>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</si>
  <si>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</si>
  <si>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</si>
  <si>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</si>
  <si>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</si>
  <si>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</si>
  <si>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</si>
  <si>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</si>
  <si>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</si>
  <si>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</si>
  <si>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</si>
  <si>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</si>
  <si>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</si>
  <si>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</si>
  <si>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</si>
  <si>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</si>
  <si>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</si>
  <si>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</si>
  <si>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</si>
  <si>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</si>
  <si>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</si>
  <si>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</si>
  <si>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</si>
  <si>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</si>
  <si>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</si>
  <si>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</si>
  <si>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</si>
  <si>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</si>
  <si>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</si>
  <si>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</si>
  <si>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</si>
  <si>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</si>
  <si>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</si>
  <si>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</si>
  <si>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</si>
  <si>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</si>
  <si>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</si>
  <si>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</si>
  <si>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</si>
  <si>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</si>
  <si>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</si>
  <si>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</si>
  <si>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</si>
  <si>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</si>
  <si>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</si>
  <si>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</si>
  <si>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</si>
  <si>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</si>
  <si>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</si>
  <si>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</si>
  <si>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</si>
  <si>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</si>
  <si>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</si>
  <si>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</si>
  <si>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</si>
  <si>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</si>
  <si>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</si>
  <si>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</si>
  <si>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</si>
  <si>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</si>
  <si>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</si>
  <si>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</si>
  <si>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</si>
  <si>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</si>
  <si>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</si>
  <si>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</si>
  <si>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</si>
  <si>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</si>
  <si>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</si>
  <si>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</si>
  <si>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</si>
  <si>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</si>
  <si>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</si>
  <si>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</si>
  <si>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</si>
  <si>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</si>
  <si>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</si>
  <si>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</si>
  <si>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</si>
  <si>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</si>
  <si>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</si>
  <si>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</si>
  <si>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</si>
  <si>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</si>
  <si>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</si>
  <si>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</si>
  <si>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</si>
  <si>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</si>
  <si>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</si>
  <si>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</si>
  <si>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</si>
  <si>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</si>
  <si>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</si>
  <si>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12.47% of revenue against depreciation of 29.74%. A business cannot depreciate more than it invests indefinitely. Capex has been set to 29.74%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</si>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</sst>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0.001148334290668851</v>
      </c>
    </row>
    <row r="7" spans="1:2" x14ac:dyDescent="0.25">
      <c r="A7" t="s">
        <v>5</v>
      </c>
      <c r="B7" s="6">
        <v>0.31254136972284924</v>
      </c>
    </row>
    <row r="8" spans="1:2" x14ac:dyDescent="0.25">
      <c r="A8" t="s">
        <v>6</v>
      </c>
      <c r="B8" s="6">
        <v>0.1854360309099631</v>
      </c>
    </row>
    <row r="9" spans="1:2" x14ac:dyDescent="0.25">
      <c r="A9" t="s">
        <v>7</v>
      </c>
      <c r="B9" s="6">
        <v>0.2974353181385646</v>
      </c>
    </row>
    <row r="10" spans="1:2" x14ac:dyDescent="0.25">
      <c r="A10" t="s">
        <v>8</v>
      </c>
      <c r="B10" s="6">
        <v>0.2974353181385646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12.396507765210474</v>
      </c>
    </row>
    <row r="14" spans="1:3" x14ac:dyDescent="0.25">
      <c r="A14" t="s">
        <v>12</v>
      </c>
      <c r="B14" s="6">
        <v>0.05886114372744691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0.5042</v>
      </c>
      <c r="C19" s="8" t="s">
        <v>19</v>
      </c>
    </row>
    <row r="20" spans="1:2" x14ac:dyDescent="0.25">
      <c r="A20" t="s">
        <v>20</v>
      </c>
      <c r="B20" s="10">
        <f>B17+B19*B18</f>
        <v>0.074773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4373006848</v>
      </c>
    </row>
    <row r="23" spans="1:2" x14ac:dyDescent="0.25">
      <c r="A23" t="s">
        <v>24</v>
      </c>
      <c r="B23" s="11">
        <v>2822888000</v>
      </c>
    </row>
    <row r="24" spans="1:2" x14ac:dyDescent="0.25">
      <c r="A24" t="s">
        <v>25</v>
      </c>
      <c r="B24" s="10">
        <f>B22/(B22+B23)</f>
        <v>0.6077085533309894</v>
      </c>
    </row>
    <row r="25" spans="1:2" x14ac:dyDescent="0.25">
      <c r="A25" t="s">
        <v>26</v>
      </c>
      <c r="B25" s="10">
        <f>1-B24</f>
        <v>0.3922914466690106</v>
      </c>
    </row>
    <row r="26" spans="1:2" x14ac:dyDescent="0.25">
      <c r="A26" t="s">
        <v>27</v>
      </c>
      <c r="B26" s="12">
        <f>B24*B20+B25*B21*(1-B8)</f>
        <v>0.05886114372744691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960401000</v>
      </c>
      <c r="C29" s="8" t="s">
        <v>30</v>
      </c>
    </row>
    <row r="30" spans="1:2" x14ac:dyDescent="0.25">
      <c r="A30" t="s">
        <v>31</v>
      </c>
      <c r="B30" s="11">
        <v>2078111000</v>
      </c>
    </row>
    <row r="31" spans="1:2" x14ac:dyDescent="0.25">
      <c r="A31" t="s">
        <v>32</v>
      </c>
      <c r="B31" s="13">
        <v>262316000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0.001148334290668851</v>
      </c>
      <c r="C5" s="10">
        <f>Assumptions!B6</f>
        <v>0.001148334290668851</v>
      </c>
      <c r="D5" s="10">
        <f>Assumptions!B6</f>
        <v>0.001148334290668851</v>
      </c>
      <c r="E5" s="10">
        <f>Assumptions!B6</f>
        <v>0.001148334290668851</v>
      </c>
      <c r="F5" s="10">
        <f>Assumptions!B6</f>
        <v>0.001148334290668851</v>
      </c>
    </row>
    <row r="6" spans="1:6" x14ac:dyDescent="0.25">
      <c r="A6" t="s">
        <v>43</v>
      </c>
      <c r="B6" s="18">
        <f>Assumptions!B29*(1+B5)</f>
        <v>961503861.4010926</v>
      </c>
      <c r="C6" s="18">
        <f>B6*(1+C5)</f>
        <v>962607989.2557501</v>
      </c>
      <c r="D6" s="18">
        <f>C6*(1+D5)</f>
        <v>963713385.0182842</v>
      </c>
      <c r="E6" s="18">
        <f>D6*(1+E5)</f>
        <v>964820050.1446773</v>
      </c>
      <c r="F6" s="18">
        <f>E6*(1+F5)</f>
        <v>965927986.0925833</v>
      </c>
    </row>
    <row r="7" spans="1:6" x14ac:dyDescent="0.25">
      <c r="A7" t="s">
        <v>5</v>
      </c>
      <c r="B7" s="10">
        <f>Assumptions!B7</f>
        <v>0.31254136972284924</v>
      </c>
      <c r="C7" s="10">
        <f>Assumptions!B7</f>
        <v>0.31254136972284924</v>
      </c>
      <c r="D7" s="10">
        <f>Assumptions!B7</f>
        <v>0.31254136972284924</v>
      </c>
      <c r="E7" s="10">
        <f>Assumptions!B7</f>
        <v>0.31254136972284924</v>
      </c>
      <c r="F7" s="10">
        <f>Assumptions!B7</f>
        <v>0.31254136972284924</v>
      </c>
    </row>
    <row r="8" spans="1:6" x14ac:dyDescent="0.25">
      <c r="A8" t="s">
        <v>44</v>
      </c>
      <c r="B8" s="18">
        <f>B6*B7</f>
        <v>300509733.83610606</v>
      </c>
      <c r="C8" s="18">
        <f>C6*C7</f>
        <v>300854819.46814984</v>
      </c>
      <c r="D8" s="18">
        <f>D6*D7</f>
        <v>301200301.3738581</v>
      </c>
      <c r="E8" s="18">
        <f>E6*E7</f>
        <v>301546180.0082855</v>
      </c>
      <c r="F8" s="18">
        <f>F6*F7</f>
        <v>301892455.82700926</v>
      </c>
    </row>
    <row r="9" spans="1:6" x14ac:dyDescent="0.25">
      <c r="A9" t="s">
        <v>45</v>
      </c>
      <c r="B9" s="18">
        <f>B8*(1-Assumptions!B8)</f>
        <v>244784401.54372913</v>
      </c>
      <c r="C9" s="18">
        <f>C8*(1-Assumptions!B8)</f>
        <v>245065495.86584264</v>
      </c>
      <c r="D9" s="18">
        <f>D8*(1-Assumptions!B8)</f>
        <v>245346912.97820514</v>
      </c>
      <c r="E9" s="18">
        <f>E8*(1-Assumptions!B8)</f>
        <v>245628653.2514878</v>
      </c>
      <c r="F9" s="18">
        <f>F8*(1-Assumptions!B8)</f>
        <v>245910717.0567873</v>
      </c>
    </row>
    <row r="10" spans="1:6" x14ac:dyDescent="0.25">
      <c r="A10" t="s">
        <v>46</v>
      </c>
      <c r="B10" s="18">
        <f>B6*Assumptions!B9</f>
        <v>285985206.9072923</v>
      </c>
      <c r="C10" s="18">
        <f>C6*Assumptions!B9</f>
        <v>286313613.527008</v>
      </c>
      <c r="D10" s="18">
        <f>D6*Assumptions!B9</f>
        <v>286642397.2673064</v>
      </c>
      <c r="E10" s="18">
        <f>E6*Assumptions!B9</f>
        <v>286971558.56124794</v>
      </c>
      <c r="F10" s="18">
        <f>F6*Assumptions!B9</f>
        <v>287301097.84239054</v>
      </c>
    </row>
    <row r="11" spans="1:6" x14ac:dyDescent="0.25">
      <c r="A11" t="s">
        <v>47</v>
      </c>
      <c r="B11" s="18">
        <f>-B6*Assumptions!B10</f>
        <v>-285985206.9072923</v>
      </c>
      <c r="C11" s="18">
        <f>-C6*Assumptions!B10</f>
        <v>-286313613.527008</v>
      </c>
      <c r="D11" s="18">
        <f>-D6*Assumptions!B10</f>
        <v>-286642397.2673064</v>
      </c>
      <c r="E11" s="18">
        <f>-E6*Assumptions!B10</f>
        <v>-286971558.56124794</v>
      </c>
      <c r="F11" s="18">
        <f>-F6*Assumptions!B10</f>
        <v>-287301097.84239054</v>
      </c>
    </row>
    <row r="12" spans="1:6" x14ac:dyDescent="0.25">
      <c r="A12" t="s">
        <v>48</v>
      </c>
      <c r="B12" s="18">
        <f>-(B6-Assumptions!B29)*Assumptions!B11</f>
        <v>-1102861.4010926485</v>
      </c>
      <c r="C12" s="18">
        <f>-(C6-B6)*Assumptions!B11</f>
        <v>-1104127.8546574116</v>
      </c>
      <c r="D12" s="18">
        <f>-(D6-C6)*Assumptions!B11</f>
        <v>-1105395.7625341415</v>
      </c>
      <c r="E12" s="18">
        <f>-(E6-D6)*Assumptions!B11</f>
        <v>-1106665.1263930798</v>
      </c>
      <c r="F12" s="18">
        <f>-(F6-E6)*Assumptions!B11</f>
        <v>-1107935.9479060173</v>
      </c>
    </row>
    <row r="13" spans="1:6" x14ac:dyDescent="0.25">
      <c r="A13" s="19" t="s">
        <v>49</v>
      </c>
      <c r="B13" s="20">
        <f>B9+B10+B11+B12</f>
        <v>243681540.14263648</v>
      </c>
      <c r="C13" s="20">
        <f>C9+C10+C11+C12</f>
        <v>243961368.01118523</v>
      </c>
      <c r="D13" s="20">
        <f>D9+D10+D11+D12</f>
        <v>244241517.215671</v>
      </c>
      <c r="E13" s="20">
        <f>E9+E10+E11+E12</f>
        <v>244521988.1250947</v>
      </c>
      <c r="F13" s="20">
        <f>F9+F10+F11+F12</f>
        <v>244802781.1088813</v>
      </c>
    </row>
    <row r="14" spans="1:6" x14ac:dyDescent="0.25">
      <c r="A14" t="s">
        <v>50</v>
      </c>
      <c r="B14" s="21">
        <f>1/(1+Assumptions!$B$26)^(1-0.5*Assumptions!$B$32)</f>
        <v>0.9718080543993501</v>
      </c>
      <c r="C14" s="21">
        <f>1/(1+Assumptions!$B$26)^(2-0.5*Assumptions!$B$32)</f>
        <v>0.9177861140303546</v>
      </c>
      <c r="D14" s="21">
        <f>1/(1+Assumptions!$B$26)^(3-0.5*Assumptions!$B$32)</f>
        <v>0.8667672049986893</v>
      </c>
      <c r="E14" s="21">
        <f>1/(1+Assumptions!$B$26)^(4-0.5*Assumptions!$B$32)</f>
        <v>0.8185843914788105</v>
      </c>
      <c r="F14" s="21">
        <f>1/(1+Assumptions!$B$26)^(5-0.5*Assumptions!$B$32)</f>
        <v>0.7730800174583758</v>
      </c>
    </row>
    <row r="15" spans="1:6" x14ac:dyDescent="0.25">
      <c r="A15" s="19" t="s">
        <v>51</v>
      </c>
      <c r="B15" s="20">
        <f>B13*B14</f>
        <v>236811683.4190527</v>
      </c>
      <c r="C15" s="20">
        <f>C13*C14</f>
        <v>223904355.92051494</v>
      </c>
      <c r="D15" s="20">
        <f>D13*D14</f>
        <v>211700537.22166643</v>
      </c>
      <c r="E15" s="20">
        <f>E13*E14</f>
        <v>200161882.85256958</v>
      </c>
      <c r="F15" s="20">
        <f>F13*F14</f>
        <v>189252138.2935129</v>
      </c>
    </row>
    <row r="17" spans="1:2" x14ac:dyDescent="0.25">
      <c r="A17" s="22" t="s">
        <v>52</v>
      </c>
      <c r="B17" s="23">
        <f>SUM(B15:F15)</f>
        <v>1061830597.7073166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244802781.1088813</v>
      </c>
    </row>
    <row r="5" spans="1:2" x14ac:dyDescent="0.25">
      <c r="A5" t="s">
        <v>56</v>
      </c>
      <c r="B5" s="18">
        <f>IF(Assumptions!$B$33=0,B4,B4-Forecast!F11-Forecast!F10-Forecast!F12)</f>
        <v>245910717.0567873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0.4247284102354694</v>
      </c>
    </row>
    <row r="7" spans="1:2" x14ac:dyDescent="0.25">
      <c r="A7" t="s">
        <v>58</v>
      </c>
      <c r="B7" s="18">
        <f>-MAX(Forecast!F9,0)*B6</f>
        <v>-104445267.9153936</v>
      </c>
    </row>
    <row r="8" spans="1:2" x14ac:dyDescent="0.25">
      <c r="A8" t="s">
        <v>59</v>
      </c>
      <c r="B8" s="18">
        <f>IF(OR(Assumptions!$B$33=0,Assumptions!B12&lt;=0),B5,MAX(B5+B7,0))</f>
        <v>141465449.14139372</v>
      </c>
    </row>
    <row r="9" spans="1:2" x14ac:dyDescent="0.25">
      <c r="A9" t="s">
        <v>60</v>
      </c>
      <c r="B9" s="18">
        <f>B8*(1+Assumptions!B12)/(Assumptions!B26-Assumptions!B12)</f>
        <v>4282255984.531138</v>
      </c>
    </row>
    <row r="10" spans="1:2" x14ac:dyDescent="0.25">
      <c r="A10" t="s">
        <v>61</v>
      </c>
      <c r="B10" s="18">
        <f>B9/(1+Assumptions!B26)^(5-0.5*Assumptions!B32)</f>
        <v>3310526531.2825665</v>
      </c>
    </row>
    <row r="11" spans="1:2" x14ac:dyDescent="0.25">
      <c r="A11" t="s">
        <v>62</v>
      </c>
      <c r="B11" s="18">
        <f>Forecast!B17+B10</f>
        <v>4372357128.989883</v>
      </c>
    </row>
    <row r="12" spans="1:2" x14ac:dyDescent="0.25">
      <c r="A12" t="s">
        <v>63</v>
      </c>
      <c r="B12" s="18">
        <f>-Assumptions!B30</f>
        <v>-2078111000</v>
      </c>
    </row>
    <row r="13" spans="1:2" x14ac:dyDescent="0.25">
      <c r="A13" t="s">
        <v>64</v>
      </c>
      <c r="B13" s="18">
        <f>B11+B12</f>
        <v>2294246128.9898834</v>
      </c>
    </row>
    <row r="14" spans="1:2" x14ac:dyDescent="0.25">
      <c r="A14" s="19" t="s">
        <v>65</v>
      </c>
      <c r="B14" s="24">
        <f>B13/Assumptions!B31</f>
        <v>8.746115864033774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589193553.6693997</v>
      </c>
    </row>
    <row r="18" spans="1:2" x14ac:dyDescent="0.25">
      <c r="A18" t="s">
        <v>60</v>
      </c>
      <c r="B18" s="18">
        <f>B17*Assumptions!B13</f>
        <v>7303942463.274668</v>
      </c>
    </row>
    <row r="19" spans="1:2" x14ac:dyDescent="0.25">
      <c r="A19" t="s">
        <v>61</v>
      </c>
      <c r="B19" s="18">
        <f>B18/(1+Assumptions!B26)^(5-0.5*Assumptions!B32)</f>
        <v>5646531967.023353</v>
      </c>
    </row>
    <row r="20" spans="1:2" x14ac:dyDescent="0.25">
      <c r="A20" t="s">
        <v>62</v>
      </c>
      <c r="B20" s="18">
        <f>Forecast!B17+B19</f>
        <v>6708362564.730669</v>
      </c>
    </row>
    <row r="21" spans="1:2" x14ac:dyDescent="0.25">
      <c r="A21" t="s">
        <v>63</v>
      </c>
      <c r="B21" s="18">
        <f>-Assumptions!B30</f>
        <v>-2078111000</v>
      </c>
    </row>
    <row r="22" spans="1:2" x14ac:dyDescent="0.25">
      <c r="A22" t="s">
        <v>64</v>
      </c>
      <c r="B22" s="18">
        <f>B20+B21</f>
        <v>4630251564.730669</v>
      </c>
    </row>
    <row r="23" spans="1:2" x14ac:dyDescent="0.25">
      <c r="A23" s="19" t="s">
        <v>65</v>
      </c>
      <c r="B23" s="25">
        <f>B22/Assumptions!B31</f>
        <v>17.65142638928113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8.746115864033774</v>
      </c>
    </row>
    <row r="29" spans="1:2" x14ac:dyDescent="0.25">
      <c r="A29" s="19" t="s">
        <v>73</v>
      </c>
      <c r="B29" s="12">
        <f>B28/B26-1</f>
        <v>-0.47939786523608485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0.038861</v>
      </c>
      <c r="B5" s="31">
        <v>16.940979677567373</v>
      </c>
      <c r="C5" s="31">
        <v>17.04258119990893</v>
      </c>
      <c r="D5" s="31">
        <v>17.14418272225047</v>
      </c>
      <c r="E5" s="31">
        <v>17.24578424459201</v>
      </c>
      <c r="F5" s="31">
        <v>17.484109680331652</v>
      </c>
    </row>
    <row r="6" spans="1:6" x14ac:dyDescent="0.25">
      <c r="A6" s="30">
        <v>0.048861</v>
      </c>
      <c r="B6" s="31">
        <v>11.93067598454392</v>
      </c>
      <c r="C6" s="31">
        <v>12.008073961742406</v>
      </c>
      <c r="D6" s="31">
        <v>12.085471938940886</v>
      </c>
      <c r="E6" s="31">
        <v>12.162869916139371</v>
      </c>
      <c r="F6" s="31">
        <v>12.240267893337851</v>
      </c>
    </row>
    <row r="7" spans="1:6" x14ac:dyDescent="0.25">
      <c r="A7" s="30">
        <v>0.058861</v>
      </c>
      <c r="B7" s="31">
        <v>8.623029706893485</v>
      </c>
      <c r="C7" s="31">
        <v>8.684592704214994</v>
      </c>
      <c r="D7" s="32">
        <v>8.746155701536496</v>
      </c>
      <c r="E7" s="31">
        <v>8.807718698858006</v>
      </c>
      <c r="F7" s="31">
        <v>8.869281696179508</v>
      </c>
    </row>
    <row r="8" spans="1:6" x14ac:dyDescent="0.25">
      <c r="A8" s="30">
        <v>0.068861</v>
      </c>
      <c r="B8" s="31">
        <v>6.276234692985496</v>
      </c>
      <c r="C8" s="31">
        <v>6.32667803060103</v>
      </c>
      <c r="D8" s="31">
        <v>6.377121368216553</v>
      </c>
      <c r="E8" s="31">
        <v>6.427564705832086</v>
      </c>
      <c r="F8" s="31">
        <v>6.478008043447613</v>
      </c>
    </row>
    <row r="9" spans="1:6" x14ac:dyDescent="0.25">
      <c r="A9" s="30">
        <v>0.078861</v>
      </c>
      <c r="B9" s="31">
        <v>4.524746578667168</v>
      </c>
      <c r="C9" s="31">
        <v>4.566985777925624</v>
      </c>
      <c r="D9" s="31">
        <v>4.609224977184082</v>
      </c>
      <c r="E9" s="31">
        <v>4.651464176442539</v>
      </c>
      <c r="F9" s="31">
        <v>4.693703375700993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960401000</v>
      </c>
      <c r="C5" s="18">
        <v>905546000</v>
      </c>
      <c r="D5" s="18">
        <v>907570000</v>
      </c>
      <c r="E5" s="18">
        <v>957100000</v>
      </c>
      <c r="F5" s="8" t="s">
        <v>84</v>
      </c>
    </row>
    <row r="6" spans="1:6" x14ac:dyDescent="0.25">
      <c r="A6" t="s">
        <v>44</v>
      </c>
      <c r="B6" s="18">
        <v>236557000</v>
      </c>
      <c r="C6" s="18">
        <v>287753000</v>
      </c>
      <c r="D6" s="18">
        <v>307494000</v>
      </c>
      <c r="E6" s="18">
        <v>332379000</v>
      </c>
      <c r="F6" s="8" t="s">
        <v>85</v>
      </c>
    </row>
    <row r="7" spans="1:6" x14ac:dyDescent="0.25">
      <c r="A7" t="s">
        <v>86</v>
      </c>
      <c r="B7" s="18">
        <v>283841000</v>
      </c>
      <c r="C7" s="18">
        <v>287108000</v>
      </c>
      <c r="D7" s="18">
        <v>273343000</v>
      </c>
      <c r="E7" s="18">
        <v>264122000</v>
      </c>
      <c r="F7" s="8" t="s">
        <v>87</v>
      </c>
    </row>
    <row r="8" spans="1:6" x14ac:dyDescent="0.25">
      <c r="A8" t="s">
        <v>88</v>
      </c>
      <c r="B8" s="18">
        <v>118122000</v>
      </c>
      <c r="C8" s="18">
        <v>97892000</v>
      </c>
      <c r="D8" s="18">
        <v>156967000</v>
      </c>
      <c r="E8" s="18">
        <v>90786000</v>
      </c>
      <c r="F8" s="8" t="s">
        <v>89</v>
      </c>
    </row>
    <row r="9" spans="1:6" x14ac:dyDescent="0.25">
      <c r="A9" t="s">
        <v>90</v>
      </c>
      <c r="B9" s="18">
        <v>259876000</v>
      </c>
      <c r="C9" s="18">
        <v>73710000</v>
      </c>
      <c r="D9" s="18">
        <v>-205726000</v>
      </c>
      <c r="E9" s="18">
        <v>-235342000</v>
      </c>
      <c r="F9" s="8" t="s">
        <v>91</v>
      </c>
    </row>
    <row r="10" spans="1:6" x14ac:dyDescent="0.25">
      <c r="A10" t="s">
        <v>92</v>
      </c>
      <c r="B10" s="18">
        <v>2822888000</v>
      </c>
      <c r="C10" s="18">
        <v>3313728000</v>
      </c>
      <c r="D10" s="18">
        <v>3806161000</v>
      </c>
      <c r="E10" s="18">
        <v>4427174000</v>
      </c>
      <c r="F10" s="8" t="s">
        <v>93</v>
      </c>
    </row>
    <row r="11" spans="1:6" x14ac:dyDescent="0.25">
      <c r="A11" t="s">
        <v>94</v>
      </c>
      <c r="B11" s="18">
        <v>744777000</v>
      </c>
      <c r="C11" s="18">
        <v>1418639000</v>
      </c>
      <c r="D11" s="18">
        <v>857552000</v>
      </c>
      <c r="E11" s="18">
        <v>1385100000</v>
      </c>
      <c r="F11" s="8" t="s">
        <v>95</v>
      </c>
    </row>
    <row r="12" spans="1:6" x14ac:dyDescent="0.25">
      <c r="A12" t="s">
        <v>32</v>
      </c>
      <c r="B12" s="34">
        <v>262316000</v>
      </c>
      <c r="C12" s="34">
        <v>261029000</v>
      </c>
      <c r="D12" s="34">
        <v>261239000</v>
      </c>
      <c r="E12" s="34">
        <v>261344000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2026-09-19T01:03:56Z</dcterms:modified>
</cp:coreProperties>
</file>