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<sst xmlns="http://schemas.openxmlformats.org/spreadsheetml/2006/main" count="112" uniqueCount="100">
  <si>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Engie SA (ENGI.PA)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</si>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</sst>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-0.0848368856114885</v>
      </c>
    </row>
    <row r="7" spans="1:2" x14ac:dyDescent="0.25">
      <c r="A7" t="s">
        <v>5</v>
      </c>
      <c r="B7" s="6">
        <v>0.11217549512558285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0.0942855865041905</v>
      </c>
    </row>
    <row r="10" spans="1:2" x14ac:dyDescent="0.25">
      <c r="A10" t="s">
        <v>8</v>
      </c>
      <c r="B10" s="6">
        <v>0.0962174331559313</v>
      </c>
    </row>
    <row r="11" spans="1:2" x14ac:dyDescent="0.25">
      <c r="A11" t="s">
        <v>9</v>
      </c>
      <c r="B11" s="6">
        <v>-0.025931002970070824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6.879893656876201</v>
      </c>
    </row>
    <row r="14" spans="1:3" x14ac:dyDescent="0.25">
      <c r="A14" t="s">
        <v>12</v>
      </c>
      <c r="B14" s="6">
        <v>0.08235464290802777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0.70051</v>
      </c>
      <c r="C19" s="8" t="s">
        <v>19</v>
      </c>
    </row>
    <row r="20" spans="1:2" x14ac:dyDescent="0.25">
      <c r="A20" t="s">
        <v>20</v>
      </c>
      <c r="B20" s="10">
        <f>B17+B19*B18</f>
        <v>0.0740306</v>
      </c>
    </row>
    <row r="21" spans="1:3" x14ac:dyDescent="0.25">
      <c r="A21" t="s">
        <v>21</v>
      </c>
      <c r="B21" s="6">
        <v>0.0483227773868168</v>
      </c>
      <c r="C21" s="8" t="s">
        <v>22</v>
      </c>
    </row>
    <row r="22" spans="1:2" x14ac:dyDescent="0.25">
      <c r="A22" t="s">
        <v>23</v>
      </c>
      <c r="B22" s="11">
        <v>61050810368</v>
      </c>
    </row>
    <row r="23" spans="1:2" x14ac:dyDescent="0.25">
      <c r="A23" t="s">
        <v>24</v>
      </c>
      <c r="B23" s="11">
        <v>54568000000</v>
      </c>
    </row>
    <row r="24" spans="1:2" x14ac:dyDescent="0.25">
      <c r="A24" t="s">
        <v>25</v>
      </c>
      <c r="B24" s="10">
        <f>B22/(B22+B23)</f>
        <v>0.5280352753473506</v>
      </c>
    </row>
    <row r="25" spans="1:2" x14ac:dyDescent="0.25">
      <c r="A25" t="s">
        <v>26</v>
      </c>
      <c r="B25" s="10">
        <f>1-B24</f>
        <v>0.4719647246526494</v>
      </c>
    </row>
    <row r="26" spans="1:2" x14ac:dyDescent="0.25">
      <c r="A26" t="s">
        <v>27</v>
      </c>
      <c r="B26" s="12">
        <f>B24*B20+B25*B21*(1-B8)</f>
        <v>0.05601329982740421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71944000000</v>
      </c>
      <c r="C29" s="8" t="s">
        <v>30</v>
      </c>
    </row>
    <row r="30" spans="1:2" x14ac:dyDescent="0.25">
      <c r="A30" t="s">
        <v>31</v>
      </c>
      <c r="B30" s="11">
        <v>39203000000</v>
      </c>
    </row>
    <row r="31" spans="1:2" x14ac:dyDescent="0.25">
      <c r="A31" t="s">
        <v>32</v>
      </c>
      <c r="B31" s="13">
        <v>2443000000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-0.0848368856114885</v>
      </c>
      <c r="C5" s="10">
        <f>Assumptions!B6</f>
        <v>-0.0848368856114885</v>
      </c>
      <c r="D5" s="10">
        <f>Assumptions!B6</f>
        <v>-0.0848368856114885</v>
      </c>
      <c r="E5" s="10">
        <f>Assumptions!B6</f>
        <v>-0.0848368856114885</v>
      </c>
      <c r="F5" s="10">
        <f>Assumptions!B6</f>
        <v>-0.0848368856114885</v>
      </c>
    </row>
    <row r="6" spans="1:6" x14ac:dyDescent="0.25">
      <c r="A6" t="s">
        <v>43</v>
      </c>
      <c r="B6" s="18">
        <f>Assumptions!B29*(1+B5)</f>
        <v>65840495101.56707</v>
      </c>
      <c r="C6" s="18">
        <f>B6*(1+C5)</f>
        <v>60254792550.031654</v>
      </c>
      <c r="D6" s="18">
        <f>C6*(1+D5)</f>
        <v>55142963606.92065</v>
      </c>
      <c r="E6" s="18">
        <f>D6*(1+E5)</f>
        <v>50464806311.12185</v>
      </c>
      <c r="F6" s="18">
        <f>E6*(1+F5)</f>
        <v>46183529310.69928</v>
      </c>
    </row>
    <row r="7" spans="1:6" x14ac:dyDescent="0.25">
      <c r="A7" t="s">
        <v>5</v>
      </c>
      <c r="B7" s="10">
        <f>Assumptions!B7</f>
        <v>0.11217549512558285</v>
      </c>
      <c r="C7" s="10">
        <f>Assumptions!B7</f>
        <v>0.11217549512558285</v>
      </c>
      <c r="D7" s="10">
        <f>Assumptions!B7</f>
        <v>0.11217549512558285</v>
      </c>
      <c r="E7" s="10">
        <f>Assumptions!B7</f>
        <v>0.11217549512558285</v>
      </c>
      <c r="F7" s="10">
        <f>Assumptions!B7</f>
        <v>0.11217549512558285</v>
      </c>
    </row>
    <row r="8" spans="1:6" x14ac:dyDescent="0.25">
      <c r="A8" t="s">
        <v>44</v>
      </c>
      <c r="B8" s="18">
        <f>B6*B7</f>
        <v>7385690137.331799</v>
      </c>
      <c r="C8" s="18">
        <f>C6*C7</f>
        <v>6759111187.989081</v>
      </c>
      <c r="D8" s="18">
        <f>D6*D7</f>
        <v>6185689245.29832</v>
      </c>
      <c r="E8" s="18">
        <f>E6*E7</f>
        <v>5660914634.366732</v>
      </c>
      <c r="F8" s="18">
        <f>F6*F7</f>
        <v>5180660267.07456</v>
      </c>
    </row>
    <row r="9" spans="1:6" x14ac:dyDescent="0.25">
      <c r="A9" t="s">
        <v>45</v>
      </c>
      <c r="B9" s="18">
        <f>B8*(1-Assumptions!B8)</f>
        <v>5480182081.900194</v>
      </c>
      <c r="C9" s="18">
        <f>C8*(1-Assumptions!B8)</f>
        <v>5015260501.487898</v>
      </c>
      <c r="D9" s="18">
        <f>D8*(1-Assumptions!B8)</f>
        <v>4589781420.0113535</v>
      </c>
      <c r="E9" s="18">
        <f>E8*(1-Assumptions!B8)</f>
        <v>4200398658.7001147</v>
      </c>
      <c r="F9" s="18">
        <f>F8*(1-Assumptions!B8)</f>
        <v>3844049918.1693234</v>
      </c>
    </row>
    <row r="10" spans="1:6" x14ac:dyDescent="0.25">
      <c r="A10" t="s">
        <v>46</v>
      </c>
      <c r="B10" s="18">
        <f>B6*Assumptions!B9</f>
        <v>6207809696.377533</v>
      </c>
      <c r="C10" s="18">
        <f>C6*Assumptions!B9</f>
        <v>5681158455.268063</v>
      </c>
      <c r="D10" s="18">
        <f>D6*Assumptions!B9</f>
        <v>5199186665.257745</v>
      </c>
      <c r="E10" s="18">
        <f>E6*Assumptions!B9</f>
        <v>4758103860.864498</v>
      </c>
      <c r="F10" s="18">
        <f>F6*Assumptions!B9</f>
        <v>4354441147.892755</v>
      </c>
    </row>
    <row r="11" spans="1:6" x14ac:dyDescent="0.25">
      <c r="A11" t="s">
        <v>47</v>
      </c>
      <c r="B11" s="18">
        <f>-B6*Assumptions!B10</f>
        <v>-6335003436.388452</v>
      </c>
      <c r="C11" s="18">
        <f>-C6*Assumptions!B10</f>
        <v>-5797561474.507178</v>
      </c>
      <c r="D11" s="18">
        <f>-D6*Assumptions!B10</f>
        <v>-5305714414.868839</v>
      </c>
      <c r="E11" s="18">
        <f>-E6*Assumptions!B10</f>
        <v>-4855594127.967386</v>
      </c>
      <c r="F11" s="18">
        <f>-F6*Assumptions!B10</f>
        <v>-4443660644.357202</v>
      </c>
    </row>
    <row r="12" spans="1:6" x14ac:dyDescent="0.25">
      <c r="A12" t="s">
        <v>48</v>
      </c>
      <c r="B12" s="18">
        <f>-(B6-Assumptions!B29)*Assumptions!B11</f>
        <v>-158270003.64910612</v>
      </c>
      <c r="C12" s="18">
        <f>-(C6-B6)*Assumptions!B11</f>
        <v>-144842869.45379704</v>
      </c>
      <c r="D12" s="18">
        <f>-(D6-C6)*Assumptions!B11</f>
        <v>-132554851.50630555</v>
      </c>
      <c r="E12" s="18">
        <f>-(E6-D6)*Assumptions!B11</f>
        <v>-121309310.73181711</v>
      </c>
      <c r="F12" s="18">
        <f>-(F6-E6)*Assumptions!B11</f>
        <v>-111017806.61365356</v>
      </c>
    </row>
    <row r="13" spans="1:6" x14ac:dyDescent="0.25">
      <c r="A13" s="19" t="s">
        <v>49</v>
      </c>
      <c r="B13" s="20">
        <f>B9+B10+B11+B12</f>
        <v>5194718338.24017</v>
      </c>
      <c r="C13" s="20">
        <f>C9+C10+C11+C12</f>
        <v>4754014612.794985</v>
      </c>
      <c r="D13" s="20">
        <f>D9+D10+D11+D12</f>
        <v>4350698818.893953</v>
      </c>
      <c r="E13" s="20">
        <f>E9+E10+E11+E12</f>
        <v>3981599080.86541</v>
      </c>
      <c r="F13" s="20">
        <f>F9+F10+F11+F12</f>
        <v>3643812615.0912232</v>
      </c>
    </row>
    <row r="14" spans="1:6" x14ac:dyDescent="0.25">
      <c r="A14" t="s">
        <v>50</v>
      </c>
      <c r="B14" s="21">
        <f>1/(1+Assumptions!$B$26)^(1-0.5*Assumptions!$B$32)</f>
        <v>0.9731175522403799</v>
      </c>
      <c r="C14" s="21">
        <f>1/(1+Assumptions!$B$26)^(2-0.5*Assumptions!$B$32)</f>
        <v>0.9215012276828588</v>
      </c>
      <c r="D14" s="21">
        <f>1/(1+Assumptions!$B$26)^(3-0.5*Assumptions!$B$32)</f>
        <v>0.8726227480595842</v>
      </c>
      <c r="E14" s="21">
        <f>1/(1+Assumptions!$B$26)^(4-0.5*Assumptions!$B$32)</f>
        <v>0.8263368919711584</v>
      </c>
      <c r="F14" s="21">
        <f>1/(1+Assumptions!$B$26)^(5-0.5*Assumptions!$B$32)</f>
        <v>0.7825061408849829</v>
      </c>
    </row>
    <row r="15" spans="1:6" x14ac:dyDescent="0.25">
      <c r="A15" s="19" t="s">
        <v>51</v>
      </c>
      <c r="B15" s="20">
        <f>B13*B14</f>
        <v>5055071593.886488</v>
      </c>
      <c r="C15" s="20">
        <f>C13*C14</f>
        <v>4380830302.112829</v>
      </c>
      <c r="D15" s="20">
        <f>D13*D14</f>
        <v>3796518759.322829</v>
      </c>
      <c r="E15" s="20">
        <f>E13*E14</f>
        <v>3290142209.5575438</v>
      </c>
      <c r="F15" s="20">
        <f>F13*F14</f>
        <v>2851305747.543051</v>
      </c>
    </row>
    <row r="17" spans="1:2" x14ac:dyDescent="0.25">
      <c r="A17" s="22" t="s">
        <v>52</v>
      </c>
      <c r="B17" s="23">
        <f>SUM(B15:F15)</f>
        <v>19373868612.422737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3643812615.0912232</v>
      </c>
    </row>
    <row r="5" spans="1:2" x14ac:dyDescent="0.25">
      <c r="A5" t="s">
        <v>56</v>
      </c>
      <c r="B5" s="18">
        <f>IF(Assumptions!$B$33=0,B4,B4-Forecast!F11-Forecast!F10-Forecast!F12)</f>
        <v>3844049918.1693234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0.30356515573650855</v>
      </c>
    </row>
    <row r="7" spans="1:2" x14ac:dyDescent="0.25">
      <c r="A7" t="s">
        <v>58</v>
      </c>
      <c r="B7" s="18">
        <f>-MAX(Forecast!F9,0)*B6</f>
        <v>-1166919612.0679836</v>
      </c>
    </row>
    <row r="8" spans="1:2" x14ac:dyDescent="0.25">
      <c r="A8" t="s">
        <v>59</v>
      </c>
      <c r="B8" s="18">
        <f>IF(OR(Assumptions!$B$33=0,Assumptions!B12&lt;=0),B5,MAX(B5+B7,0))</f>
        <v>2677130306.10134</v>
      </c>
    </row>
    <row r="9" spans="1:2" x14ac:dyDescent="0.25">
      <c r="A9" t="s">
        <v>60</v>
      </c>
      <c r="B9" s="18">
        <f>B8*(1+Assumptions!B12)/(Assumptions!B26-Assumptions!B12)</f>
        <v>88480057879.20532</v>
      </c>
    </row>
    <row r="10" spans="1:2" x14ac:dyDescent="0.25">
      <c r="A10" t="s">
        <v>61</v>
      </c>
      <c r="B10" s="18">
        <f>B9/(1+Assumptions!B26)^(5-0.5*Assumptions!B32)</f>
        <v>69236188636.33688</v>
      </c>
    </row>
    <row r="11" spans="1:2" x14ac:dyDescent="0.25">
      <c r="A11" t="s">
        <v>62</v>
      </c>
      <c r="B11" s="18">
        <f>Forecast!B17+B10</f>
        <v>88610057248.75961</v>
      </c>
    </row>
    <row r="12" spans="1:2" x14ac:dyDescent="0.25">
      <c r="A12" t="s">
        <v>63</v>
      </c>
      <c r="B12" s="18">
        <f>-Assumptions!B30</f>
        <v>-39203000000</v>
      </c>
    </row>
    <row r="13" spans="1:2" x14ac:dyDescent="0.25">
      <c r="A13" t="s">
        <v>64</v>
      </c>
      <c r="B13" s="18">
        <f>B11+B12</f>
        <v>49407057248.75961</v>
      </c>
    </row>
    <row r="14" spans="1:2" x14ac:dyDescent="0.25">
      <c r="A14" s="19" t="s">
        <v>65</v>
      </c>
      <c r="B14" s="24">
        <f>B13/Assumptions!B31</f>
        <v>20.223928468587644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9535101414.967316</v>
      </c>
    </row>
    <row r="18" spans="1:2" x14ac:dyDescent="0.25">
      <c r="A18" t="s">
        <v>60</v>
      </c>
      <c r="B18" s="18">
        <f>B17*Assumptions!B13</f>
        <v>65600483742.50492</v>
      </c>
    </row>
    <row r="19" spans="1:2" x14ac:dyDescent="0.25">
      <c r="A19" t="s">
        <v>61</v>
      </c>
      <c r="B19" s="18">
        <f>B18/(1+Assumptions!B26)^(5-0.5*Assumptions!B32)</f>
        <v>51332781373.53559</v>
      </c>
    </row>
    <row r="20" spans="1:2" x14ac:dyDescent="0.25">
      <c r="A20" t="s">
        <v>62</v>
      </c>
      <c r="B20" s="18">
        <f>Forecast!B17+B19</f>
        <v>70706649985.95833</v>
      </c>
    </row>
    <row r="21" spans="1:2" x14ac:dyDescent="0.25">
      <c r="A21" t="s">
        <v>63</v>
      </c>
      <c r="B21" s="18">
        <f>-Assumptions!B30</f>
        <v>-39203000000</v>
      </c>
    </row>
    <row r="22" spans="1:2" x14ac:dyDescent="0.25">
      <c r="A22" t="s">
        <v>64</v>
      </c>
      <c r="B22" s="18">
        <f>B20+B21</f>
        <v>31503649985.95833</v>
      </c>
    </row>
    <row r="23" spans="1:2" x14ac:dyDescent="0.25">
      <c r="A23" s="19" t="s">
        <v>65</v>
      </c>
      <c r="B23" s="25">
        <f>B22/Assumptions!B31</f>
        <v>12.895476866949787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24.03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20.223928468587644</v>
      </c>
    </row>
    <row r="29" spans="1:2" x14ac:dyDescent="0.25">
      <c r="A29" s="19" t="s">
        <v>73</v>
      </c>
      <c r="B29" s="12">
        <f>B28/B26-1</f>
        <v>-0.15838832839835026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0.036013</v>
      </c>
      <c r="B5" s="31">
        <v>45.24217612560807</v>
      </c>
      <c r="C5" s="31">
        <v>56.948298021314834</v>
      </c>
      <c r="D5" s="31">
        <v>79.20980964595506</v>
      </c>
      <c r="E5" s="31">
        <v>138.35813390556595</v>
      </c>
      <c r="F5" s="31">
        <v>780.594839926071</v>
      </c>
    </row>
    <row r="6" spans="1:6" x14ac:dyDescent="0.25">
      <c r="A6" s="30">
        <v>0.046013</v>
      </c>
      <c r="B6" s="31">
        <v>26.452368295424236</v>
      </c>
      <c r="C6" s="31">
        <v>30.206921903292336</v>
      </c>
      <c r="D6" s="31">
        <v>35.71112057801325</v>
      </c>
      <c r="E6" s="31">
        <v>44.60392491427831</v>
      </c>
      <c r="F6" s="31">
        <v>61.50070628438954</v>
      </c>
    </row>
    <row r="7" spans="1:6" x14ac:dyDescent="0.25">
      <c r="A7" s="30">
        <v>0.056013</v>
      </c>
      <c r="B7" s="31">
        <v>16.805000032771662</v>
      </c>
      <c r="C7" s="31">
        <v>18.287638870503542</v>
      </c>
      <c r="D7" s="32">
        <v>20.22424366023889</v>
      </c>
      <c r="E7" s="31">
        <v>22.876586949552106</v>
      </c>
      <c r="F7" s="31">
        <v>26.755594236642757</v>
      </c>
    </row>
    <row r="8" spans="1:6" x14ac:dyDescent="0.25">
      <c r="A8" s="30">
        <v>0.066013</v>
      </c>
      <c r="B8" s="31">
        <v>10.924352354453513</v>
      </c>
      <c r="C8" s="31">
        <v>11.527759113553516</v>
      </c>
      <c r="D8" s="31">
        <v>12.26082153208132</v>
      </c>
      <c r="E8" s="31">
        <v>13.177543300132648</v>
      </c>
      <c r="F8" s="31">
        <v>14.36675459353223</v>
      </c>
    </row>
    <row r="9" spans="1:6" x14ac:dyDescent="0.25">
      <c r="A9" s="30">
        <v>0.076013</v>
      </c>
      <c r="B9" s="31">
        <v>6.958974684688857</v>
      </c>
      <c r="C9" s="31">
        <v>7.164852121112291</v>
      </c>
      <c r="D9" s="31">
        <v>7.397619870647997</v>
      </c>
      <c r="E9" s="31">
        <v>7.666044036281762</v>
      </c>
      <c r="F9" s="31">
        <v>7.983165513375303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71944000000</v>
      </c>
      <c r="C5" s="18">
        <v>73812000000</v>
      </c>
      <c r="D5" s="18">
        <v>82566000000</v>
      </c>
      <c r="E5" s="18">
        <v>93864000000</v>
      </c>
      <c r="F5" s="8" t="s">
        <v>84</v>
      </c>
    </row>
    <row r="6" spans="1:6" x14ac:dyDescent="0.25">
      <c r="A6" t="s">
        <v>44</v>
      </c>
      <c r="B6" s="18">
        <v>9056000000</v>
      </c>
      <c r="C6" s="18">
        <v>9439000000</v>
      </c>
      <c r="D6" s="18">
        <v>11631000000</v>
      </c>
      <c r="E6" s="18">
        <v>5076000000</v>
      </c>
      <c r="F6" s="8" t="s">
        <v>85</v>
      </c>
    </row>
    <row r="7" spans="1:6" x14ac:dyDescent="0.25">
      <c r="A7" t="s">
        <v>86</v>
      </c>
      <c r="B7" s="18">
        <v>5516000000</v>
      </c>
      <c r="C7" s="18">
        <v>5991000000</v>
      </c>
      <c r="D7" s="18">
        <v>11020000000</v>
      </c>
      <c r="E7" s="18">
        <v>8057000000</v>
      </c>
      <c r="F7" s="8" t="s">
        <v>87</v>
      </c>
    </row>
    <row r="8" spans="1:6" x14ac:dyDescent="0.25">
      <c r="A8" t="s">
        <v>88</v>
      </c>
      <c r="B8" s="18">
        <v>7267000000</v>
      </c>
      <c r="C8" s="18">
        <v>9385000000</v>
      </c>
      <c r="D8" s="18">
        <v>7328000000</v>
      </c>
      <c r="E8" s="18">
        <v>6379000000</v>
      </c>
      <c r="F8" s="8" t="s">
        <v>89</v>
      </c>
    </row>
    <row r="9" spans="1:6" x14ac:dyDescent="0.25">
      <c r="A9" t="s">
        <v>90</v>
      </c>
      <c r="B9" s="18">
        <v>13986000000</v>
      </c>
      <c r="C9" s="18">
        <v>227000000</v>
      </c>
      <c r="D9" s="18">
        <v>-398000000</v>
      </c>
      <c r="E9" s="18">
        <v>2424000000</v>
      </c>
      <c r="F9" s="8" t="s">
        <v>91</v>
      </c>
    </row>
    <row r="10" spans="1:6" x14ac:dyDescent="0.25">
      <c r="A10" t="s">
        <v>92</v>
      </c>
      <c r="B10" s="18">
        <v>54568000000</v>
      </c>
      <c r="C10" s="18">
        <v>52007000000</v>
      </c>
      <c r="D10" s="18">
        <v>47287000000</v>
      </c>
      <c r="E10" s="18">
        <v>40592000000</v>
      </c>
      <c r="F10" s="8" t="s">
        <v>93</v>
      </c>
    </row>
    <row r="11" spans="1:6" x14ac:dyDescent="0.25">
      <c r="A11" t="s">
        <v>94</v>
      </c>
      <c r="B11" s="18">
        <v>15365000000</v>
      </c>
      <c r="C11" s="18">
        <v>17737000000</v>
      </c>
      <c r="D11" s="18">
        <v>17351000000</v>
      </c>
      <c r="E11" s="18">
        <v>16428000000</v>
      </c>
      <c r="F11" s="8" t="s">
        <v>95</v>
      </c>
    </row>
    <row r="12" spans="1:6" x14ac:dyDescent="0.25">
      <c r="A12" t="s">
        <v>32</v>
      </c>
      <c r="B12" s="34">
        <v>2443000000</v>
      </c>
      <c r="C12" s="34">
        <v>2436000000</v>
      </c>
      <c r="D12" s="34">
        <v>2433000000</v>
      </c>
      <c r="E12" s="34">
        <v>2420000000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2026-09-19T00:08:09Z</dcterms:modified>
</cp:coreProperties>
</file>