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<sst xmlns="http://schemas.openxmlformats.org/spreadsheetml/2006/main" count="112" uniqueCount="100">
  <si>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Eni S.p.A. (ENI.MI)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</si>
  <si>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</si>
  <si>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</si>
  <si>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</si>
  <si>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</si>
  <si>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</si>
  <si>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</si>
  <si>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</si>
  <si>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</si>
  <si>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</si>
  <si>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</si>
  <si>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</si>
  <si>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</si>
  <si>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</si>
  <si>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</si>
  <si>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</si>
  <si>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</si>
  <si>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</si>
  <si>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</si>
  <si>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</si>
  <si>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</si>
  <si>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</si>
  <si>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23.0%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</si>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</sst>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-0.14732038224157962</v>
      </c>
    </row>
    <row r="7" spans="1:2" x14ac:dyDescent="0.25">
      <c r="A7" t="s">
        <v>5</v>
      </c>
      <c r="B7" s="6">
        <v>0.09387125325528427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0.07730555533659512</v>
      </c>
    </row>
    <row r="10" spans="1:2" x14ac:dyDescent="0.25">
      <c r="A10" t="s">
        <v>8</v>
      </c>
      <c r="B10" s="6">
        <v>0.09177458087739468</v>
      </c>
    </row>
    <row r="11" spans="1:2" x14ac:dyDescent="0.25">
      <c r="A11" t="s">
        <v>9</v>
      </c>
      <c r="B11" s="6">
        <v>0.2613821138211382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7.413843483424715</v>
      </c>
    </row>
    <row r="14" spans="1:3" x14ac:dyDescent="0.25">
      <c r="A14" t="s">
        <v>12</v>
      </c>
      <c r="B14" s="6">
        <v>0.07245594504975165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0.49146999999999996</v>
      </c>
      <c r="C19" s="8" t="s">
        <v>19</v>
      </c>
    </row>
    <row r="20" spans="1:2" x14ac:dyDescent="0.25">
      <c r="A20" t="s">
        <v>20</v>
      </c>
      <c r="B20" s="10">
        <f>B17+B19*B18</f>
        <v>0.07394555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68779114496</v>
      </c>
    </row>
    <row r="23" spans="1:2" x14ac:dyDescent="0.25">
      <c r="A23" t="s">
        <v>24</v>
      </c>
      <c r="B23" s="11">
        <v>34202000000</v>
      </c>
    </row>
    <row r="24" spans="1:2" x14ac:dyDescent="0.25">
      <c r="A24" t="s">
        <v>25</v>
      </c>
      <c r="B24" s="10">
        <f>B22/(B22+B23)</f>
        <v>0.6678808520631375</v>
      </c>
    </row>
    <row r="25" spans="1:2" x14ac:dyDescent="0.25">
      <c r="A25" t="s">
        <v>26</v>
      </c>
      <c r="B25" s="10">
        <f>1-B24</f>
        <v>0.3321191479368625</v>
      </c>
    </row>
    <row r="26" spans="1:2" x14ac:dyDescent="0.25">
      <c r="A26" t="s">
        <v>27</v>
      </c>
      <c r="B26" s="12">
        <f>B24*B20+B25*B21*(1-B8)</f>
        <v>0.06483035731934145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82151000000</v>
      </c>
      <c r="C29" s="8" t="s">
        <v>30</v>
      </c>
    </row>
    <row r="30" spans="1:2" x14ac:dyDescent="0.25">
      <c r="A30" t="s">
        <v>31</v>
      </c>
      <c r="B30" s="11">
        <v>19112000000</v>
      </c>
    </row>
    <row r="31" spans="1:2" x14ac:dyDescent="0.25">
      <c r="A31" t="s">
        <v>32</v>
      </c>
      <c r="B31" s="13">
        <v>3088100000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-0.14732038224157962</v>
      </c>
      <c r="C5" s="10">
        <f>Assumptions!B6</f>
        <v>-0.14732038224157962</v>
      </c>
      <c r="D5" s="10">
        <f>Assumptions!B6</f>
        <v>-0.14732038224157962</v>
      </c>
      <c r="E5" s="10">
        <f>Assumptions!B6</f>
        <v>-0.14732038224157962</v>
      </c>
      <c r="F5" s="10">
        <f>Assumptions!B6</f>
        <v>-0.14732038224157962</v>
      </c>
    </row>
    <row r="6" spans="1:6" x14ac:dyDescent="0.25">
      <c r="A6" t="s">
        <v>43</v>
      </c>
      <c r="B6" s="18">
        <f>Assumptions!B29*(1+B5)</f>
        <v>70048483278.472</v>
      </c>
      <c r="C6" s="18">
        <f>B6*(1+C5)</f>
        <v>59728913946.44461</v>
      </c>
      <c r="D6" s="18">
        <f>C6*(1+D5)</f>
        <v>50929627512.97997</v>
      </c>
      <c r="E6" s="18">
        <f>D6*(1+E5)</f>
        <v>43426655320.3465</v>
      </c>
      <c r="F6" s="18">
        <f>E6*(1+F5)</f>
        <v>37029023859.07973</v>
      </c>
    </row>
    <row r="7" spans="1:6" x14ac:dyDescent="0.25">
      <c r="A7" t="s">
        <v>5</v>
      </c>
      <c r="B7" s="10">
        <f>Assumptions!B7</f>
        <v>0.09387125325528427</v>
      </c>
      <c r="C7" s="10">
        <f>Assumptions!B7</f>
        <v>0.09387125325528427</v>
      </c>
      <c r="D7" s="10">
        <f>Assumptions!B7</f>
        <v>0.09387125325528427</v>
      </c>
      <c r="E7" s="10">
        <f>Assumptions!B7</f>
        <v>0.09387125325528427</v>
      </c>
      <c r="F7" s="10">
        <f>Assumptions!B7</f>
        <v>0.09387125325528427</v>
      </c>
    </row>
    <row r="8" spans="1:6" x14ac:dyDescent="0.25">
      <c r="A8" t="s">
        <v>44</v>
      </c>
      <c r="B8" s="18">
        <f>B6*B7</f>
        <v>6575538913.98199</v>
      </c>
      <c r="C8" s="18">
        <f>C6*C7</f>
        <v>5606828007.729782</v>
      </c>
      <c r="D8" s="18">
        <f>D6*D7</f>
        <v>4780827962.468237</v>
      </c>
      <c r="E8" s="18">
        <f>E6*E7</f>
        <v>4076514559.606184</v>
      </c>
      <c r="F8" s="18">
        <f>F6*F7</f>
        <v>3475960876.471637</v>
      </c>
    </row>
    <row r="9" spans="1:6" x14ac:dyDescent="0.25">
      <c r="A9" t="s">
        <v>45</v>
      </c>
      <c r="B9" s="18">
        <f>B8*(1-Assumptions!B8)</f>
        <v>4931654185.486492</v>
      </c>
      <c r="C9" s="18">
        <f>C8*(1-Assumptions!B8)</f>
        <v>4205121005.7973366</v>
      </c>
      <c r="D9" s="18">
        <f>D8*(1-Assumptions!B8)</f>
        <v>3585620971.8511777</v>
      </c>
      <c r="E9" s="18">
        <f>E8*(1-Assumptions!B8)</f>
        <v>3057385919.704638</v>
      </c>
      <c r="F9" s="18">
        <f>F8*(1-Assumptions!B8)</f>
        <v>2606970657.3537273</v>
      </c>
    </row>
    <row r="10" spans="1:6" x14ac:dyDescent="0.25">
      <c r="A10" t="s">
        <v>46</v>
      </c>
      <c r="B10" s="18">
        <f>B6*Assumptions!B9</f>
        <v>5415136900.328476</v>
      </c>
      <c r="C10" s="18">
        <f>C6*Assumptions!B9</f>
        <v>4617376862.281602</v>
      </c>
      <c r="D10" s="18">
        <f>D6*Assumptions!B9</f>
        <v>3937143137.976851</v>
      </c>
      <c r="E10" s="18">
        <f>E6*Assumptions!B9</f>
        <v>3357121705.9502892</v>
      </c>
      <c r="F10" s="18">
        <f>F6*Assumptions!B9</f>
        <v>2862549252.998189</v>
      </c>
    </row>
    <row r="11" spans="1:6" x14ac:dyDescent="0.25">
      <c r="A11" t="s">
        <v>47</v>
      </c>
      <c r="B11" s="18">
        <f>-B6*Assumptions!B10</f>
        <v>-6428670193.978957</v>
      </c>
      <c r="C11" s="18">
        <f>-C6*Assumptions!B10</f>
        <v>-5481596043.696928</v>
      </c>
      <c r="D11" s="18">
        <f>-D6*Assumptions!B10</f>
        <v>-4674045219.245565</v>
      </c>
      <c r="E11" s="18">
        <f>-E6*Assumptions!B10</f>
        <v>-3985463090.9318814</v>
      </c>
      <c r="F11" s="18">
        <f>-F6*Assumptions!B10</f>
        <v>-3398323144.9660897</v>
      </c>
    </row>
    <row r="12" spans="1:6" x14ac:dyDescent="0.25">
      <c r="A12" t="s">
        <v>48</v>
      </c>
      <c r="B12" s="18">
        <f>-(B6-Assumptions!B29)*Assumptions!B11</f>
        <v>3163381403.2286596</v>
      </c>
      <c r="C12" s="18">
        <f>-(C6-B6)*Assumptions!B11</f>
        <v>2697350845.7291102</v>
      </c>
      <c r="D12" s="18">
        <f>-(D6-C6)*Assumptions!B11</f>
        <v>2299976088.096651</v>
      </c>
      <c r="E12" s="18">
        <f>-(E6-D6)*Assumptions!B11</f>
        <v>1961142731.651758</v>
      </c>
      <c r="F12" s="18">
        <f>-(F6-E6)*Assumptions!B11</f>
        <v>1672226434.7945254</v>
      </c>
    </row>
    <row r="13" spans="1:6" x14ac:dyDescent="0.25">
      <c r="A13" s="19" t="s">
        <v>49</v>
      </c>
      <c r="B13" s="20">
        <f>B9+B10+B11+B12</f>
        <v>7081502295.064671</v>
      </c>
      <c r="C13" s="20">
        <f>C9+C10+C11+C12</f>
        <v>6038252670.11112</v>
      </c>
      <c r="D13" s="20">
        <f>D9+D10+D11+D12</f>
        <v>5148694978.679114</v>
      </c>
      <c r="E13" s="20">
        <f>E9+E10+E11+E12</f>
        <v>4390187266.374804</v>
      </c>
      <c r="F13" s="20">
        <f>F9+F10+F11+F12</f>
        <v>3743423200.180352</v>
      </c>
    </row>
    <row r="14" spans="1:6" x14ac:dyDescent="0.25">
      <c r="A14" t="s">
        <v>50</v>
      </c>
      <c r="B14" s="21">
        <f>1/(1+Assumptions!$B$26)^(1-0.5*Assumptions!$B$32)</f>
        <v>0.969080351169374</v>
      </c>
      <c r="C14" s="21">
        <f>1/(1+Assumptions!$B$26)^(2-0.5*Assumptions!$B$32)</f>
        <v>0.9100795676120529</v>
      </c>
      <c r="D14" s="21">
        <f>1/(1+Assumptions!$B$26)^(3-0.5*Assumptions!$B$32)</f>
        <v>0.8546709448659352</v>
      </c>
      <c r="E14" s="21">
        <f>1/(1+Assumptions!$B$26)^(4-0.5*Assumptions!$B$32)</f>
        <v>0.8026357804237735</v>
      </c>
      <c r="F14" s="21">
        <f>1/(1+Assumptions!$B$26)^(5-0.5*Assumptions!$B$32)</f>
        <v>0.7537686871027701</v>
      </c>
    </row>
    <row r="15" spans="1:6" x14ac:dyDescent="0.25">
      <c r="A15" s="19" t="s">
        <v>51</v>
      </c>
      <c r="B15" s="20">
        <f>B13*B14</f>
        <v>6862544730.907999</v>
      </c>
      <c r="C15" s="20">
        <f>C13*C14</f>
        <v>5495290379.147052</v>
      </c>
      <c r="D15" s="20">
        <f>D13*D14</f>
        <v>4400440002.254175</v>
      </c>
      <c r="E15" s="20">
        <f>E13*E14</f>
        <v>3523721382.753253</v>
      </c>
      <c r="F15" s="20">
        <f>F13*F14</f>
        <v>2821675190.869994</v>
      </c>
    </row>
    <row r="17" spans="1:2" x14ac:dyDescent="0.25">
      <c r="A17" s="22" t="s">
        <v>52</v>
      </c>
      <c r="B17" s="23">
        <f>SUM(B15:F15)</f>
        <v>23103671685.932472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3743423200.180352</v>
      </c>
    </row>
    <row r="5" spans="1:2" x14ac:dyDescent="0.25">
      <c r="A5" t="s">
        <v>56</v>
      </c>
      <c r="B5" s="18">
        <f>IF(Assumptions!$B$33=0,B4,B4-Forecast!F11-Forecast!F10-Forecast!F12)</f>
        <v>2606970657.3537273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0.34503724963954063</v>
      </c>
    </row>
    <row r="7" spans="1:2" x14ac:dyDescent="0.25">
      <c r="A7" t="s">
        <v>58</v>
      </c>
      <c r="B7" s="18">
        <f>-MAX(Forecast!F9,0)*B6</f>
        <v>-899501985.5043154</v>
      </c>
    </row>
    <row r="8" spans="1:2" x14ac:dyDescent="0.25">
      <c r="A8" t="s">
        <v>59</v>
      </c>
      <c r="B8" s="18">
        <f>IF(OR(Assumptions!$B$33=0,Assumptions!B12&lt;=0),B5,MAX(B5+B7,0))</f>
        <v>1707468671.849412</v>
      </c>
    </row>
    <row r="9" spans="1:2" x14ac:dyDescent="0.25">
      <c r="A9" t="s">
        <v>60</v>
      </c>
      <c r="B9" s="18">
        <f>B8*(1+Assumptions!B12)/(Assumptions!B26-Assumptions!B12)</f>
        <v>43940238211.1139</v>
      </c>
    </row>
    <row r="10" spans="1:2" x14ac:dyDescent="0.25">
      <c r="A10" t="s">
        <v>61</v>
      </c>
      <c r="B10" s="18">
        <f>B9/(1+Assumptions!B26)^(5-0.5*Assumptions!B32)</f>
        <v>33120775667.374294</v>
      </c>
    </row>
    <row r="11" spans="1:2" x14ac:dyDescent="0.25">
      <c r="A11" t="s">
        <v>62</v>
      </c>
      <c r="B11" s="18">
        <f>Forecast!B17+B10</f>
        <v>56224447353.30676</v>
      </c>
    </row>
    <row r="12" spans="1:2" x14ac:dyDescent="0.25">
      <c r="A12" t="s">
        <v>63</v>
      </c>
      <c r="B12" s="18">
        <f>-Assumptions!B30</f>
        <v>-19112000000</v>
      </c>
    </row>
    <row r="13" spans="1:2" x14ac:dyDescent="0.25">
      <c r="A13" t="s">
        <v>64</v>
      </c>
      <c r="B13" s="18">
        <f>B11+B12</f>
        <v>37112447353.30676</v>
      </c>
    </row>
    <row r="14" spans="1:2" x14ac:dyDescent="0.25">
      <c r="A14" s="19" t="s">
        <v>65</v>
      </c>
      <c r="B14" s="24">
        <f>B13/Assumptions!B31</f>
        <v>12.017890402936033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6338510129.469826</v>
      </c>
    </row>
    <row r="18" spans="1:2" x14ac:dyDescent="0.25">
      <c r="A18" t="s">
        <v>60</v>
      </c>
      <c r="B18" s="18">
        <f>B17*Assumptions!B13</f>
        <v>46992722017.99142</v>
      </c>
    </row>
    <row r="19" spans="1:2" x14ac:dyDescent="0.25">
      <c r="A19" t="s">
        <v>61</v>
      </c>
      <c r="B19" s="18">
        <f>B18/(1+Assumptions!B26)^(5-0.5*Assumptions!B32)</f>
        <v>35421642378.886826</v>
      </c>
    </row>
    <row r="20" spans="1:2" x14ac:dyDescent="0.25">
      <c r="A20" t="s">
        <v>62</v>
      </c>
      <c r="B20" s="18">
        <f>Forecast!B17+B19</f>
        <v>58525314064.8193</v>
      </c>
    </row>
    <row r="21" spans="1:2" x14ac:dyDescent="0.25">
      <c r="A21" t="s">
        <v>63</v>
      </c>
      <c r="B21" s="18">
        <f>-Assumptions!B30</f>
        <v>-19112000000</v>
      </c>
    </row>
    <row r="22" spans="1:2" x14ac:dyDescent="0.25">
      <c r="A22" t="s">
        <v>64</v>
      </c>
      <c r="B22" s="18">
        <f>B20+B21</f>
        <v>39413314064.8193</v>
      </c>
    </row>
    <row r="23" spans="1:2" x14ac:dyDescent="0.25">
      <c r="A23" s="19" t="s">
        <v>65</v>
      </c>
      <c r="B23" s="25">
        <f>B22/Assumptions!B31</f>
        <v>12.762965598529613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12.017890402936033</v>
      </c>
    </row>
    <row r="29" spans="1:2" x14ac:dyDescent="0.25">
      <c r="A29" s="19" t="s">
        <v>73</v>
      </c>
      <c r="B29" s="12">
        <f>B28/B26-1</f>
        <v>-0.49820916897970635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0.04483</v>
      </c>
      <c r="B5" s="31">
        <v>20.29273892193817</v>
      </c>
      <c r="C5" s="31">
        <v>22.204228352837468</v>
      </c>
      <c r="D5" s="31">
        <v>25.055539561519364</v>
      </c>
      <c r="E5" s="31">
        <v>29.79726773791905</v>
      </c>
      <c r="F5" s="31">
        <v>39.31407763440345</v>
      </c>
    </row>
    <row r="6" spans="1:6" x14ac:dyDescent="0.25">
      <c r="A6" s="30">
        <v>0.05483</v>
      </c>
      <c r="B6" s="31">
        <v>14.85696854960751</v>
      </c>
      <c r="C6" s="31">
        <v>15.516816439108748</v>
      </c>
      <c r="D6" s="31">
        <v>16.382507985696055</v>
      </c>
      <c r="E6" s="31">
        <v>17.578394975768596</v>
      </c>
      <c r="F6" s="31">
        <v>19.354247033747864</v>
      </c>
    </row>
    <row r="7" spans="1:6" x14ac:dyDescent="0.25">
      <c r="A7" s="30">
        <v>0.06483</v>
      </c>
      <c r="B7" s="31">
        <v>11.570864025015899</v>
      </c>
      <c r="C7" s="31">
        <v>11.774398051289296</v>
      </c>
      <c r="D7" s="32">
        <v>12.018008000412605</v>
      </c>
      <c r="E7" s="31">
        <v>12.318953098419378</v>
      </c>
      <c r="F7" s="31">
        <v>12.706064295133686</v>
      </c>
    </row>
    <row r="8" spans="1:6" x14ac:dyDescent="0.25">
      <c r="A8" s="30">
        <v>0.07483</v>
      </c>
      <c r="B8" s="31">
        <v>9.425913456376104</v>
      </c>
      <c r="C8" s="31">
        <v>9.466680576976897</v>
      </c>
      <c r="D8" s="31">
        <v>9.507447697577685</v>
      </c>
      <c r="E8" s="31">
        <v>9.548214818178476</v>
      </c>
      <c r="F8" s="31">
        <v>9.588981938779268</v>
      </c>
    </row>
    <row r="9" spans="1:6" x14ac:dyDescent="0.25">
      <c r="A9" s="30">
        <v>0.08483</v>
      </c>
      <c r="B9" s="31">
        <v>8.01511226221407</v>
      </c>
      <c r="C9" s="31">
        <v>8.04960579962253</v>
      </c>
      <c r="D9" s="31">
        <v>8.084099337030986</v>
      </c>
      <c r="E9" s="31">
        <v>8.118592874439443</v>
      </c>
      <c r="F9" s="31">
        <v>8.153086411847902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82151000000</v>
      </c>
      <c r="C5" s="18">
        <v>88797000000</v>
      </c>
      <c r="D5" s="18">
        <v>93717000000</v>
      </c>
      <c r="E5" s="18">
        <v>132512000000</v>
      </c>
      <c r="F5" s="8" t="s">
        <v>84</v>
      </c>
    </row>
    <row r="6" spans="1:6" x14ac:dyDescent="0.25">
      <c r="A6" t="s">
        <v>44</v>
      </c>
      <c r="B6" s="18">
        <v>4506000000</v>
      </c>
      <c r="C6" s="18">
        <v>6653000000</v>
      </c>
      <c r="D6" s="18">
        <v>9017000000</v>
      </c>
      <c r="E6" s="18">
        <v>19810000000</v>
      </c>
      <c r="F6" s="8" t="s">
        <v>85</v>
      </c>
    </row>
    <row r="7" spans="1:6" x14ac:dyDescent="0.25">
      <c r="A7" t="s">
        <v>86</v>
      </c>
      <c r="B7" s="18">
        <v>7349000000</v>
      </c>
      <c r="C7" s="18">
        <v>7600000000</v>
      </c>
      <c r="D7" s="18">
        <v>7479000000</v>
      </c>
      <c r="E7" s="18">
        <v>7205000000</v>
      </c>
      <c r="F7" s="8" t="s">
        <v>87</v>
      </c>
    </row>
    <row r="8" spans="1:6" x14ac:dyDescent="0.25">
      <c r="A8" t="s">
        <v>88</v>
      </c>
      <c r="B8" s="18">
        <v>9229000000</v>
      </c>
      <c r="C8" s="18">
        <v>8490000000</v>
      </c>
      <c r="D8" s="18">
        <v>9215000000</v>
      </c>
      <c r="E8" s="18">
        <v>8059000000</v>
      </c>
      <c r="F8" s="8" t="s">
        <v>89</v>
      </c>
    </row>
    <row r="9" spans="1:6" x14ac:dyDescent="0.25">
      <c r="A9" t="s">
        <v>90</v>
      </c>
      <c r="B9" s="18">
        <v>-2735000000</v>
      </c>
      <c r="C9" s="18">
        <v>-1286000000</v>
      </c>
      <c r="D9" s="18">
        <v>-1811000000</v>
      </c>
      <c r="E9" s="18">
        <v>1279000000</v>
      </c>
      <c r="F9" s="8" t="s">
        <v>91</v>
      </c>
    </row>
    <row r="10" spans="1:6" x14ac:dyDescent="0.25">
      <c r="A10" t="s">
        <v>92</v>
      </c>
      <c r="B10" s="18">
        <v>34202000000</v>
      </c>
      <c r="C10" s="18">
        <v>36843000000</v>
      </c>
      <c r="D10" s="18">
        <v>34065000000</v>
      </c>
      <c r="E10" s="18">
        <v>31868000000</v>
      </c>
      <c r="F10" s="8" t="s">
        <v>93</v>
      </c>
    </row>
    <row r="11" spans="1:6" x14ac:dyDescent="0.25">
      <c r="A11" t="s">
        <v>94</v>
      </c>
      <c r="B11" s="18">
        <v>15090000000</v>
      </c>
      <c r="C11" s="18">
        <v>14926000000</v>
      </c>
      <c r="D11" s="18">
        <v>16770000000</v>
      </c>
      <c r="E11" s="18">
        <v>18309000000</v>
      </c>
      <c r="F11" s="8" t="s">
        <v>95</v>
      </c>
    </row>
    <row r="12" spans="1:6" x14ac:dyDescent="0.25">
      <c r="A12" t="s">
        <v>32</v>
      </c>
      <c r="B12" s="34">
        <v>3088100000</v>
      </c>
      <c r="C12" s="34">
        <v>3230400000</v>
      </c>
      <c r="D12" s="34">
        <v>3327100000</v>
      </c>
      <c r="E12" s="34">
        <v>3490000000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