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<sst xmlns="http://schemas.openxmlformats.org/spreadsheetml/2006/main" count="113" uniqueCount="101">
  <si>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Siemens Energy AG (ENR.DE)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</si>
  <si>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</si>
  <si>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</si>
  <si>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</si>
  <si>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</si>
  <si>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</si>
  <si>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</si>
  <si>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</si>
  <si>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</si>
  <si>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</si>
  <si>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</si>
  <si>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</si>
  <si>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</si>
  <si>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</si>
  <si>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</si>
  <si>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</si>
  <si>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</si>
  <si>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</si>
  <si>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</si>
  <si>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</si>
  <si>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</si>
  <si>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</si>
  <si>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</si>
  <si>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</si>
  <si>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</si>
  <si>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</si>
  <si>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</si>
  <si>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</si>
  <si>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</si>
  <si>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</si>
  <si>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2025-09-30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</si>
  <si>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</si>
  <si>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</si>
  <si>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</si>
  <si>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</si>
  <si>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</si>
  <si>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</si>
  <si>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</si>
  <si>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</si>
  <si>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</si>
  <si>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</si>
  <si>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</si>
  <si>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</si>
  <si>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</si>
  <si>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</si>
  <si>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</si>
  <si>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</si>
  <si>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</si>
  <si>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</si>
  <si>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</si>
  <si>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</si>
  <si>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</si>
  <si>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</si>
  <si>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</si>
  <si>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</si>
  <si>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</si>
  <si>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</si>
  <si>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</si>
  <si>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</si>
  <si>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</si>
  <si>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</si>
  <si>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</si>
  <si>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</si>
  <si>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</si>
  <si>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</si>
  <si>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</si>
  <si>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</si>
  <si>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</si>
  <si>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</si>
  <si>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</si>
  <si>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</si>
  <si>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</si>
  <si>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</si>
  <si>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</si>
  <si>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</si>
  <si>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</si>
  <si>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</si>
  <si>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</si>
  <si>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</si>
  <si>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</si>
  <si>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</si>
  <si>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</si>
  <si>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</si>
  <si>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</si>
  <si>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</si>
  <si>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</si>
  <si>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</si>
  <si>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</si>
  <si>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</si>
  <si>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</si>
  <si>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</si>
  <si>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</si>
  <si>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</si>
  <si>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</si>
  <si>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</si>
  <si>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</si>
  <si>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</si>
  <si>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</si>
  <si>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</si>
  <si>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Current EV/EBITDA of 34.6x sits outside a defensible 3-20x band, so the exit multiple is capped at 20.0x. A multiple that far out usually means EBITDA is the wrong denominator for this business.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</si>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</sst>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0.1044586181301701</v>
      </c>
    </row>
    <row r="7" spans="1:2" x14ac:dyDescent="0.25">
      <c r="A7" t="s">
        <v>5</v>
      </c>
      <c r="B7" s="6">
        <v>-0.023262249121341914</v>
      </c>
    </row>
    <row r="8" spans="1:2" x14ac:dyDescent="0.25">
      <c r="A8" t="s">
        <v>6</v>
      </c>
      <c r="B8" s="6">
        <v>0.25271348378978026</v>
      </c>
    </row>
    <row r="9" spans="1:2" x14ac:dyDescent="0.25">
      <c r="A9" t="s">
        <v>7</v>
      </c>
      <c r="B9" s="6">
        <v>0.04804415206956603</v>
      </c>
    </row>
    <row r="10" spans="1:2" x14ac:dyDescent="0.25">
      <c r="A10" t="s">
        <v>8</v>
      </c>
      <c r="B10" s="6">
        <v>0.04184943577674958</v>
      </c>
    </row>
    <row r="11" spans="1:2" x14ac:dyDescent="0.25">
      <c r="A11" t="s">
        <v>9</v>
      </c>
      <c r="B11" s="6">
        <v>-0.5568083261058109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0.11882597172297751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1.58156</v>
      </c>
      <c r="C19" s="8" t="s">
        <v>19</v>
      </c>
    </row>
    <row r="20" spans="1:2" x14ac:dyDescent="0.25">
      <c r="A20" t="s">
        <v>20</v>
      </c>
      <c r="B20" s="10">
        <f>B17+B19*B18</f>
        <v>0.12089359999999999</v>
      </c>
    </row>
    <row r="21" spans="1:3" x14ac:dyDescent="0.25">
      <c r="A21" t="s">
        <v>21</v>
      </c>
      <c r="B21" s="6">
        <v>0.07578892912571134</v>
      </c>
      <c r="C21" s="8" t="s">
        <v>22</v>
      </c>
    </row>
    <row r="22" spans="1:2" x14ac:dyDescent="0.25">
      <c r="A22" t="s">
        <v>23</v>
      </c>
      <c r="B22" s="11">
        <v>119288971264</v>
      </c>
    </row>
    <row r="23" spans="1:2" x14ac:dyDescent="0.25">
      <c r="A23" t="s">
        <v>24</v>
      </c>
      <c r="B23" s="11">
        <v>3966000000</v>
      </c>
    </row>
    <row r="24" spans="1:2" x14ac:dyDescent="0.25">
      <c r="A24" t="s">
        <v>25</v>
      </c>
      <c r="B24" s="10">
        <f>B22/(B22+B23)</f>
        <v>0.9678227988751446</v>
      </c>
    </row>
    <row r="25" spans="1:2" x14ac:dyDescent="0.25">
      <c r="A25" t="s">
        <v>26</v>
      </c>
      <c r="B25" s="10">
        <f>1-B24</f>
        <v>0.03217720112485545</v>
      </c>
    </row>
    <row r="26" spans="1:2" x14ac:dyDescent="0.25">
      <c r="A26" t="s">
        <v>27</v>
      </c>
      <c r="B26" s="12">
        <f>B24*B20+B25*B21*(1-B8)</f>
        <v>0.11882597172297751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39077000000</v>
      </c>
      <c r="C29" s="8" t="s">
        <v>30</v>
      </c>
    </row>
    <row r="30" spans="1:2" x14ac:dyDescent="0.25">
      <c r="A30" t="s">
        <v>31</v>
      </c>
      <c r="B30" s="11">
        <v>-6227000000</v>
      </c>
    </row>
    <row r="31" spans="1:2" x14ac:dyDescent="0.25">
      <c r="A31" t="s">
        <v>32</v>
      </c>
      <c r="B31" s="13">
        <v>883225000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0.1044586181301701</v>
      </c>
      <c r="C5" s="10">
        <f>Assumptions!B6</f>
        <v>0.1044586181301701</v>
      </c>
      <c r="D5" s="10">
        <f>Assumptions!B6</f>
        <v>0.1044586181301701</v>
      </c>
      <c r="E5" s="10">
        <f>Assumptions!B6</f>
        <v>0.1044586181301701</v>
      </c>
      <c r="F5" s="10">
        <f>Assumptions!B6</f>
        <v>0.1044586181301701</v>
      </c>
    </row>
    <row r="6" spans="1:6" x14ac:dyDescent="0.25">
      <c r="A6" t="s">
        <v>43</v>
      </c>
      <c r="B6" s="18">
        <f>Assumptions!B29*(1+B5)</f>
        <v>43158929420.67265</v>
      </c>
      <c r="C6" s="18">
        <f>B6*(1+C5)</f>
        <v>47667251547.93366</v>
      </c>
      <c r="D6" s="18">
        <f>C6*(1+D5)</f>
        <v>52646506774.69402</v>
      </c>
      <c r="E6" s="18">
        <f>D6*(1+E5)</f>
        <v>58145888121.7592</v>
      </c>
      <c r="F6" s="18">
        <f>E6*(1+F5)</f>
        <v>64219727244.90964</v>
      </c>
    </row>
    <row r="7" spans="1:6" x14ac:dyDescent="0.25">
      <c r="A7" t="s">
        <v>5</v>
      </c>
      <c r="B7" s="10">
        <f>Assumptions!B7</f>
        <v>-0.023262249121341914</v>
      </c>
      <c r="C7" s="10">
        <f>Assumptions!B7</f>
        <v>-0.023262249121341914</v>
      </c>
      <c r="D7" s="10">
        <f>Assumptions!B7</f>
        <v>-0.023262249121341914</v>
      </c>
      <c r="E7" s="10">
        <f>Assumptions!B7</f>
        <v>-0.023262249121341914</v>
      </c>
      <c r="F7" s="10">
        <f>Assumptions!B7</f>
        <v>-0.023262249121341914</v>
      </c>
    </row>
    <row r="8" spans="1:6" x14ac:dyDescent="0.25">
      <c r="A8" t="s">
        <v>44</v>
      </c>
      <c r="B8" s="18">
        <f>B6*B7</f>
        <v>-1003973767.9941001</v>
      </c>
      <c r="C8" s="18">
        <f>C6*C7</f>
        <v>-1108847480.4377038</v>
      </c>
      <c r="D8" s="18">
        <f>D6*D7</f>
        <v>-1224676155.961347</v>
      </c>
      <c r="E8" s="18">
        <f>E6*E7</f>
        <v>-1352604134.8700383</v>
      </c>
      <c r="F8" s="18">
        <f>F6*F7</f>
        <v>-1493895293.6757166</v>
      </c>
    </row>
    <row r="9" spans="1:6" x14ac:dyDescent="0.25">
      <c r="A9" t="s">
        <v>45</v>
      </c>
      <c r="B9" s="18">
        <f>B8*(1-Assumptions!B8)</f>
        <v>-750256059.4507586</v>
      </c>
      <c r="C9" s="18">
        <f>C8*(1-Assumptions!B8)</f>
        <v>-828626770.6647716</v>
      </c>
      <c r="D9" s="18">
        <f>D8*(1-Assumptions!B8)</f>
        <v>-915183978.0740789</v>
      </c>
      <c r="E9" s="18">
        <f>E8*(1-Assumptions!B8)</f>
        <v>-1010782831.7585691</v>
      </c>
      <c r="F9" s="18">
        <f>F8*(1-Assumptions!B8)</f>
        <v>-1116367809.5937696</v>
      </c>
    </row>
    <row r="10" spans="1:6" x14ac:dyDescent="0.25">
      <c r="A10" t="s">
        <v>46</v>
      </c>
      <c r="B10" s="18">
        <f>B6*Assumptions!B9</f>
        <v>2073534168.2464645</v>
      </c>
      <c r="C10" s="18">
        <f>C6*Assumptions!B9</f>
        <v>2290132682.1071815</v>
      </c>
      <c r="D10" s="18">
        <f>D6*Assumptions!B9</f>
        <v>2529356777.414838</v>
      </c>
      <c r="E10" s="18">
        <f>E6*Assumptions!B9</f>
        <v>2793569891.1417723</v>
      </c>
      <c r="F10" s="18">
        <f>F6*Assumptions!B9</f>
        <v>3085382341.6204915</v>
      </c>
    </row>
    <row r="11" spans="1:6" x14ac:dyDescent="0.25">
      <c r="A11" t="s">
        <v>47</v>
      </c>
      <c r="B11" s="18">
        <f>-B6*Assumptions!B10</f>
        <v>-1806176844.9837081</v>
      </c>
      <c r="C11" s="18">
        <f>-C6*Assumptions!B10</f>
        <v>-1994847582.3094168</v>
      </c>
      <c r="D11" s="18">
        <f>-D6*Assumptions!B10</f>
        <v>-2203226604.137769</v>
      </c>
      <c r="E11" s="18">
        <f>-E6*Assumptions!B10</f>
        <v>-2433372610.633628</v>
      </c>
      <c r="F11" s="18">
        <f>-F6*Assumptions!B10</f>
        <v>-2687559350.936221</v>
      </c>
    </row>
    <row r="12" spans="1:6" x14ac:dyDescent="0.25">
      <c r="A12" t="s">
        <v>48</v>
      </c>
      <c r="B12" s="18">
        <f>-(B6-Assumptions!B29)*Assumptions!B11</f>
        <v>2272852288.0068026</v>
      </c>
      <c r="C12" s="18">
        <f>-(C6-B6)*Assumptions!B11</f>
        <v>2510271297.2259912</v>
      </c>
      <c r="D12" s="18">
        <f>-(D6-C6)*Assumptions!B11</f>
        <v>2772490768.066046</v>
      </c>
      <c r="E12" s="18">
        <f>-(E6-D6)*Assumptions!B11</f>
        <v>3062101322.476881</v>
      </c>
      <c r="F12" s="18">
        <f>-(F6-E6)*Assumptions!B11</f>
        <v>3381964195.1973805</v>
      </c>
    </row>
    <row r="13" spans="1:6" x14ac:dyDescent="0.25">
      <c r="A13" s="19" t="s">
        <v>49</v>
      </c>
      <c r="B13" s="20">
        <f>B9+B10+B11+B12</f>
        <v>1789953551.8188002</v>
      </c>
      <c r="C13" s="20">
        <f>C9+C10+C11+C12</f>
        <v>1976929626.3589845</v>
      </c>
      <c r="D13" s="20">
        <f>D9+D10+D11+D12</f>
        <v>2183436963.269036</v>
      </c>
      <c r="E13" s="20">
        <f>E9+E10+E11+E12</f>
        <v>2411515771.226456</v>
      </c>
      <c r="F13" s="20">
        <f>F9+F10+F11+F12</f>
        <v>2663419376.2878814</v>
      </c>
    </row>
    <row r="14" spans="1:6" x14ac:dyDescent="0.25">
      <c r="A14" t="s">
        <v>50</v>
      </c>
      <c r="B14" s="21">
        <f>1/(1+Assumptions!$B$26)^(1-0.5*Assumptions!$B$32)</f>
        <v>0.9454068188446874</v>
      </c>
      <c r="C14" s="21">
        <f>1/(1+Assumptions!$B$26)^(2-0.5*Assumptions!$B$32)</f>
        <v>0.8449989924606174</v>
      </c>
      <c r="D14" s="21">
        <f>1/(1+Assumptions!$B$26)^(3-0.5*Assumptions!$B$32)</f>
        <v>0.7552550743520279</v>
      </c>
      <c r="E14" s="21">
        <f>1/(1+Assumptions!$B$26)^(4-0.5*Assumptions!$B$32)</f>
        <v>0.6750424940430592</v>
      </c>
      <c r="F14" s="21">
        <f>1/(1+Assumptions!$B$26)^(5-0.5*Assumptions!$B$32)</f>
        <v>0.6033489667776503</v>
      </c>
    </row>
    <row r="15" spans="1:6" x14ac:dyDescent="0.25">
      <c r="A15" s="19" t="s">
        <v>51</v>
      </c>
      <c r="B15" s="20">
        <f>B13*B14</f>
        <v>1692234293.3047612</v>
      </c>
      <c r="C15" s="20">
        <f>C13*C14</f>
        <v>1670503542.4388866</v>
      </c>
      <c r="D15" s="20">
        <f>D13*D14</f>
        <v>1649051846.0367217</v>
      </c>
      <c r="E15" s="20">
        <f>E13*E14</f>
        <v>1627875620.6328783</v>
      </c>
      <c r="F15" s="20">
        <f>F13*F14</f>
        <v>1606971328.778867</v>
      </c>
    </row>
    <row r="17" spans="1:2" x14ac:dyDescent="0.25">
      <c r="A17" s="22" t="s">
        <v>52</v>
      </c>
      <c r="B17" s="23">
        <f>SUM(B15:F15)</f>
        <v>8246636631.192114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2663419376.2878814</v>
      </c>
    </row>
    <row r="5" spans="1:2" x14ac:dyDescent="0.25">
      <c r="A5" t="s">
        <v>56</v>
      </c>
      <c r="B5" s="18">
        <f>IF(Assumptions!$B$33=0,B4,B4-Forecast!F11-Forecast!F10-Forecast!F12)</f>
        <v>-367575551.6676011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0.21039171519070962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8246636631.192114</v>
      </c>
    </row>
    <row r="12" spans="1:2" x14ac:dyDescent="0.25">
      <c r="A12" t="s">
        <v>63</v>
      </c>
      <c r="B12" s="18">
        <f>-Assumptions!B30</f>
        <v>6227000000</v>
      </c>
    </row>
    <row r="13" spans="1:2" x14ac:dyDescent="0.25">
      <c r="A13" t="s">
        <v>64</v>
      </c>
      <c r="B13" s="18">
        <f>B11+B12</f>
        <v>14473636631.192114</v>
      </c>
    </row>
    <row r="14" spans="1:2" x14ac:dyDescent="0.25">
      <c r="A14" s="19" t="s">
        <v>65</v>
      </c>
      <c r="B14" s="24">
        <f>B13/Assumptions!B31</f>
        <v>16.387258774595505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1591487047.9447749</v>
      </c>
    </row>
    <row r="18" spans="1:2" x14ac:dyDescent="0.25">
      <c r="A18" t="s">
        <v>60</v>
      </c>
      <c r="B18" s="18">
        <f>B17*Assumptions!B13</f>
        <v>31829740958.895496</v>
      </c>
    </row>
    <row r="19" spans="1:2" x14ac:dyDescent="0.25">
      <c r="A19" t="s">
        <v>61</v>
      </c>
      <c r="B19" s="18">
        <f>B18/(1+Assumptions!B26)^(5-0.5*Assumptions!B32)</f>
        <v>19204441320.349854</v>
      </c>
    </row>
    <row r="20" spans="1:2" x14ac:dyDescent="0.25">
      <c r="A20" t="s">
        <v>62</v>
      </c>
      <c r="B20" s="18">
        <f>Forecast!B17+B19</f>
        <v>27451077951.54197</v>
      </c>
    </row>
    <row r="21" spans="1:2" x14ac:dyDescent="0.25">
      <c r="A21" t="s">
        <v>63</v>
      </c>
      <c r="B21" s="18">
        <f>-Assumptions!B30</f>
        <v>6227000000</v>
      </c>
    </row>
    <row r="22" spans="1:2" x14ac:dyDescent="0.25">
      <c r="A22" t="s">
        <v>64</v>
      </c>
      <c r="B22" s="18">
        <f>B20+B21</f>
        <v>33678077951.54197</v>
      </c>
    </row>
    <row r="23" spans="1:2" x14ac:dyDescent="0.25">
      <c r="A23" s="19" t="s">
        <v>65</v>
      </c>
      <c r="B23" s="25">
        <f>B22/Assumptions!B31</f>
        <v>38.13080240204022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140.2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16.387258774595505</v>
      </c>
    </row>
    <row r="29" spans="1:2" x14ac:dyDescent="0.25">
      <c r="A29" s="19" t="s">
        <v>73</v>
      </c>
      <c r="B29" s="12">
        <f>B28/B26-1</f>
        <v>-0.8831151299957525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0.098826</v>
      </c>
      <c r="B5" s="31">
        <v>16.81656003743033</v>
      </c>
      <c r="C5" s="31">
        <v>16.81656003743033</v>
      </c>
      <c r="D5" s="31">
        <v>16.81656003743033</v>
      </c>
      <c r="E5" s="31">
        <v>16.81656003743033</v>
      </c>
      <c r="F5" s="31">
        <v>16.81656003743033</v>
      </c>
    </row>
    <row r="6" spans="1:6" x14ac:dyDescent="0.25">
      <c r="A6" s="30">
        <v>0.108826</v>
      </c>
      <c r="B6" s="31">
        <v>16.597752545985927</v>
      </c>
      <c r="C6" s="31">
        <v>16.597752545985927</v>
      </c>
      <c r="D6" s="31">
        <v>16.597752545985927</v>
      </c>
      <c r="E6" s="31">
        <v>16.597752545985927</v>
      </c>
      <c r="F6" s="31">
        <v>16.597752545985927</v>
      </c>
    </row>
    <row r="7" spans="1:6" x14ac:dyDescent="0.25">
      <c r="A7" s="30">
        <v>0.118826</v>
      </c>
      <c r="B7" s="31">
        <v>16.387258190743054</v>
      </c>
      <c r="C7" s="31">
        <v>16.387258190743054</v>
      </c>
      <c r="D7" s="32">
        <v>16.387258190743054</v>
      </c>
      <c r="E7" s="31">
        <v>16.387258190743054</v>
      </c>
      <c r="F7" s="31">
        <v>16.387258190743054</v>
      </c>
    </row>
    <row r="8" spans="1:6" x14ac:dyDescent="0.25">
      <c r="A8" s="30">
        <v>0.128826</v>
      </c>
      <c r="B8" s="31">
        <v>16.184668754138016</v>
      </c>
      <c r="C8" s="31">
        <v>16.184668754138016</v>
      </c>
      <c r="D8" s="31">
        <v>16.184668754138016</v>
      </c>
      <c r="E8" s="31">
        <v>16.184668754138016</v>
      </c>
      <c r="F8" s="31">
        <v>16.184668754138016</v>
      </c>
    </row>
    <row r="9" spans="1:6" x14ac:dyDescent="0.25">
      <c r="A9" s="30">
        <v>0.138826</v>
      </c>
      <c r="B9" s="31">
        <v>15.9896000479234</v>
      </c>
      <c r="C9" s="31">
        <v>15.9896000479234</v>
      </c>
      <c r="D9" s="31">
        <v>15.9896000479234</v>
      </c>
      <c r="E9" s="31">
        <v>15.9896000479234</v>
      </c>
      <c r="F9" s="31">
        <v>15.9896000479234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39077000000</v>
      </c>
      <c r="C5" s="18">
        <v>34465000000</v>
      </c>
      <c r="D5" s="18">
        <v>31119000000</v>
      </c>
      <c r="E5" s="18">
        <v>29005000000</v>
      </c>
      <c r="F5" s="8" t="s">
        <v>84</v>
      </c>
    </row>
    <row r="6" spans="1:6" x14ac:dyDescent="0.25">
      <c r="A6" t="s">
        <v>44</v>
      </c>
      <c r="B6" s="18">
        <v>1569000000</v>
      </c>
      <c r="C6" s="18">
        <v>-86000000</v>
      </c>
      <c r="D6" s="18">
        <v>-3340000000</v>
      </c>
      <c r="E6" s="18">
        <v>-678000000</v>
      </c>
      <c r="F6" s="8" t="s">
        <v>85</v>
      </c>
    </row>
    <row r="7" spans="1:6" x14ac:dyDescent="0.25">
      <c r="A7" t="s">
        <v>86</v>
      </c>
      <c r="B7" s="18">
        <v>1694000000</v>
      </c>
      <c r="C7" s="18">
        <v>1511000000</v>
      </c>
      <c r="D7" s="18">
        <v>1515000000</v>
      </c>
      <c r="E7" s="18">
        <v>1633000000</v>
      </c>
      <c r="F7" s="8" t="s">
        <v>87</v>
      </c>
    </row>
    <row r="8" spans="1:6" x14ac:dyDescent="0.25">
      <c r="A8" t="s">
        <v>88</v>
      </c>
      <c r="B8" s="18">
        <v>1724000000</v>
      </c>
      <c r="C8" s="18">
        <v>1514000000</v>
      </c>
      <c r="D8" s="18">
        <v>1228000000</v>
      </c>
      <c r="E8" s="18">
        <v>1157000000</v>
      </c>
      <c r="F8" s="8" t="s">
        <v>89</v>
      </c>
    </row>
    <row r="9" spans="1:6" x14ac:dyDescent="0.25">
      <c r="A9" t="s">
        <v>90</v>
      </c>
      <c r="B9" s="18">
        <v>-2568000000</v>
      </c>
      <c r="C9" s="18">
        <v>-1751000000</v>
      </c>
      <c r="D9" s="18">
        <v>-3377000000</v>
      </c>
      <c r="E9" s="18">
        <v>-1488000000</v>
      </c>
      <c r="F9" s="8" t="s">
        <v>91</v>
      </c>
    </row>
    <row r="10" spans="1:6" x14ac:dyDescent="0.25">
      <c r="A10" t="s">
        <v>92</v>
      </c>
      <c r="B10" s="18">
        <v>3966000000</v>
      </c>
      <c r="C10" s="18">
        <v>3766000000</v>
      </c>
      <c r="D10" s="18">
        <v>4781000000</v>
      </c>
      <c r="E10" s="18">
        <v>3223000000</v>
      </c>
      <c r="F10" s="8" t="s">
        <v>93</v>
      </c>
    </row>
    <row r="11" spans="1:6" x14ac:dyDescent="0.25">
      <c r="A11" t="s">
        <v>94</v>
      </c>
      <c r="B11" s="18">
        <v>10193000000</v>
      </c>
      <c r="C11" s="18">
        <v>7245000000</v>
      </c>
      <c r="D11" s="18">
        <v>5308000000</v>
      </c>
      <c r="E11" s="18">
        <v>8468000000</v>
      </c>
      <c r="F11" s="8" t="s">
        <v>95</v>
      </c>
    </row>
    <row r="12" spans="1:6" x14ac:dyDescent="0.25">
      <c r="A12" t="s">
        <v>32</v>
      </c>
      <c r="B12" s="34">
        <v>883225000</v>
      </c>
      <c r="C12" s="34">
        <v>874685000</v>
      </c>
      <c r="D12" s="34">
        <v>828902000</v>
      </c>
      <c r="E12" s="34">
        <v>720827000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2026-09-19T00:08:36Z</dcterms:modified>
</cp:coreProperties>
</file>