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<sst xmlns="http://schemas.openxmlformats.org/spreadsheetml/2006/main" count="112" uniqueCount="100">
  <si>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Entain Plc (ENT.L)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</si>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</sst>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0.0696958685914646</v>
      </c>
    </row>
    <row r="7" spans="1:2" x14ac:dyDescent="0.25">
      <c r="A7" t="s">
        <v>5</v>
      </c>
      <c r="B7" s="6">
        <v>0.10201713270486712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0.10988212094009321</v>
      </c>
    </row>
    <row r="10" spans="1:2" x14ac:dyDescent="0.25">
      <c r="A10" t="s">
        <v>8</v>
      </c>
      <c r="B10" s="6">
        <v>0.05678525255727001</v>
      </c>
    </row>
    <row r="11" spans="1:2" x14ac:dyDescent="0.25">
      <c r="A11" t="s">
        <v>9</v>
      </c>
      <c r="B11" s="6">
        <v>-0.0688360450563204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6.047282768591307</v>
      </c>
    </row>
    <row r="14" spans="1:3" x14ac:dyDescent="0.25">
      <c r="A14" t="s">
        <v>12</v>
      </c>
      <c r="B14" s="6">
        <v>0.0680670471640923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0.83786</v>
      </c>
      <c r="C19" s="8" t="s">
        <v>19</v>
      </c>
    </row>
    <row r="20" spans="1:2" x14ac:dyDescent="0.25">
      <c r="A20" t="s">
        <v>20</v>
      </c>
      <c r="B20" s="10">
        <f>B17+B19*B18</f>
        <v>0.0910823</v>
      </c>
    </row>
    <row r="21" spans="1:3" x14ac:dyDescent="0.25">
      <c r="A21" t="s">
        <v>21</v>
      </c>
      <c r="B21" s="6">
        <v>0.06655846198366865</v>
      </c>
      <c r="C21" s="8" t="s">
        <v>22</v>
      </c>
    </row>
    <row r="22" spans="1:2" x14ac:dyDescent="0.25">
      <c r="A22" t="s">
        <v>23</v>
      </c>
      <c r="B22" s="11">
        <v>3050627840</v>
      </c>
    </row>
    <row r="23" spans="1:2" x14ac:dyDescent="0.25">
      <c r="A23" t="s">
        <v>24</v>
      </c>
      <c r="B23" s="11">
        <v>3992200000</v>
      </c>
    </row>
    <row r="24" spans="1:2" x14ac:dyDescent="0.25">
      <c r="A24" t="s">
        <v>25</v>
      </c>
      <c r="B24" s="10">
        <f>B22/(B22+B23)</f>
        <v>0.4331538281645686</v>
      </c>
    </row>
    <row r="25" spans="1:2" x14ac:dyDescent="0.25">
      <c r="A25" t="s">
        <v>26</v>
      </c>
      <c r="B25" s="10">
        <f>1-B24</f>
        <v>0.5668461718354314</v>
      </c>
    </row>
    <row r="26" spans="1:2" x14ac:dyDescent="0.25">
      <c r="A26" t="s">
        <v>27</v>
      </c>
      <c r="B26" s="12">
        <f>B24*B20+B25*B21*(1-B8)</f>
        <v>0.06774895395705618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5259400000</v>
      </c>
      <c r="C29" s="8" t="s">
        <v>30</v>
      </c>
    </row>
    <row r="30" spans="1:2" x14ac:dyDescent="0.25">
      <c r="A30" t="s">
        <v>31</v>
      </c>
      <c r="B30" s="11">
        <v>3641900000</v>
      </c>
    </row>
    <row r="31" spans="1:2" x14ac:dyDescent="0.25">
      <c r="A31" t="s">
        <v>32</v>
      </c>
      <c r="B31" s="13">
        <v>645800000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0.0696958685914646</v>
      </c>
      <c r="C5" s="10">
        <f>Assumptions!B6</f>
        <v>0.0696958685914646</v>
      </c>
      <c r="D5" s="10">
        <f>Assumptions!B6</f>
        <v>0.0696958685914646</v>
      </c>
      <c r="E5" s="10">
        <f>Assumptions!B6</f>
        <v>0.0696958685914646</v>
      </c>
      <c r="F5" s="10">
        <f>Assumptions!B6</f>
        <v>0.0696958685914646</v>
      </c>
    </row>
    <row r="6" spans="1:6" x14ac:dyDescent="0.25">
      <c r="A6" t="s">
        <v>43</v>
      </c>
      <c r="B6" s="18">
        <f>Assumptions!B29*(1+B5)</f>
        <v>5625958451.269949</v>
      </c>
      <c r="C6" s="18">
        <f>B6*(1+C5)</f>
        <v>6018064512.190699</v>
      </c>
      <c r="D6" s="18">
        <f>C6*(1+D5)</f>
        <v>6437498745.607298</v>
      </c>
      <c r="E6" s="18">
        <f>D6*(1+E5)</f>
        <v>6886165812.238862</v>
      </c>
      <c r="F6" s="18">
        <f>E6*(1+F5)</f>
        <v>7366103119.787698</v>
      </c>
    </row>
    <row r="7" spans="1:6" x14ac:dyDescent="0.25">
      <c r="A7" t="s">
        <v>5</v>
      </c>
      <c r="B7" s="10">
        <f>Assumptions!B7</f>
        <v>0.10201713270486712</v>
      </c>
      <c r="C7" s="10">
        <f>Assumptions!B7</f>
        <v>0.10201713270486712</v>
      </c>
      <c r="D7" s="10">
        <f>Assumptions!B7</f>
        <v>0.10201713270486712</v>
      </c>
      <c r="E7" s="10">
        <f>Assumptions!B7</f>
        <v>0.10201713270486712</v>
      </c>
      <c r="F7" s="10">
        <f>Assumptions!B7</f>
        <v>0.10201713270486712</v>
      </c>
    </row>
    <row r="8" spans="1:6" x14ac:dyDescent="0.25">
      <c r="A8" t="s">
        <v>44</v>
      </c>
      <c r="B8" s="18">
        <f>B6*B7</f>
        <v>573944149.9152751</v>
      </c>
      <c r="C8" s="18">
        <f>C6*C7</f>
        <v>613945685.96661</v>
      </c>
      <c r="D8" s="18">
        <f>D6*D7</f>
        <v>656735163.8180354</v>
      </c>
      <c r="E8" s="18">
        <f>E6*E7</f>
        <v>702506891.494891</v>
      </c>
      <c r="F8" s="18">
        <f>F6*F7</f>
        <v>751468719.4891173</v>
      </c>
    </row>
    <row r="9" spans="1:6" x14ac:dyDescent="0.25">
      <c r="A9" t="s">
        <v>45</v>
      </c>
      <c r="B9" s="18">
        <f>B8*(1-Assumptions!B8)</f>
        <v>430458112.4364563</v>
      </c>
      <c r="C9" s="18">
        <f>C8*(1-Assumptions!B8)</f>
        <v>460459264.47495747</v>
      </c>
      <c r="D9" s="18">
        <f>D8*(1-Assumptions!B8)</f>
        <v>492551372.8635265</v>
      </c>
      <c r="E9" s="18">
        <f>E8*(1-Assumptions!B8)</f>
        <v>526880168.62116826</v>
      </c>
      <c r="F9" s="18">
        <f>F8*(1-Assumptions!B8)</f>
        <v>563601539.616838</v>
      </c>
    </row>
    <row r="10" spans="1:6" x14ac:dyDescent="0.25">
      <c r="A10" t="s">
        <v>46</v>
      </c>
      <c r="B10" s="18">
        <f>B6*Assumptions!B9</f>
        <v>618192246.9463841</v>
      </c>
      <c r="C10" s="18">
        <f>C6*Assumptions!B9</f>
        <v>661277692.5538214</v>
      </c>
      <c r="D10" s="18">
        <f>D6*Assumptions!B9</f>
        <v>707366015.7165195</v>
      </c>
      <c r="E10" s="18">
        <f>E6*Assumptions!B9</f>
        <v>756666504.5939659</v>
      </c>
      <c r="F10" s="18">
        <f>F6*Assumptions!B9</f>
        <v>809403033.8657097</v>
      </c>
    </row>
    <row r="11" spans="1:6" x14ac:dyDescent="0.25">
      <c r="A11" t="s">
        <v>47</v>
      </c>
      <c r="B11" s="18">
        <f>-B6*Assumptions!B10</f>
        <v>-319471471.5320717</v>
      </c>
      <c r="C11" s="18">
        <f>-C6*Assumptions!B10</f>
        <v>-341737313.23069274</v>
      </c>
      <c r="D11" s="18">
        <f>-D6*Assumptions!B10</f>
        <v>-365554992.10641927</v>
      </c>
      <c r="E11" s="18">
        <f>-E6*Assumptions!B10</f>
        <v>-391032664.7992222</v>
      </c>
      <c r="F11" s="18">
        <f>-F6*Assumptions!B10</f>
        <v>-418286026.02003896</v>
      </c>
    </row>
    <row r="12" spans="1:6" x14ac:dyDescent="0.25">
      <c r="A12" t="s">
        <v>48</v>
      </c>
      <c r="B12" s="18">
        <f>-(B6-Assumptions!B29)*Assumptions!B11</f>
        <v>25232434.067393236</v>
      </c>
      <c r="C12" s="18">
        <f>-(C6-B6)*Assumptions!B11</f>
        <v>26991030.476397038</v>
      </c>
      <c r="D12" s="18">
        <f>-(D6-C6)*Assumptions!B11</f>
        <v>28872193.789628237</v>
      </c>
      <c r="E12" s="18">
        <f>-(E6-D6)*Assumptions!B11</f>
        <v>30884466.413937457</v>
      </c>
      <c r="F12" s="18">
        <f>-(F6-E6)*Assumptions!B11</f>
        <v>33036986.126640763</v>
      </c>
    </row>
    <row r="13" spans="1:6" x14ac:dyDescent="0.25">
      <c r="A13" s="19" t="s">
        <v>49</v>
      </c>
      <c r="B13" s="20">
        <f>B9+B10+B11+B12</f>
        <v>754411321.9181619</v>
      </c>
      <c r="C13" s="20">
        <f>C9+C10+C11+C12</f>
        <v>806990674.2744833</v>
      </c>
      <c r="D13" s="20">
        <f>D9+D10+D11+D12</f>
        <v>863234590.2632549</v>
      </c>
      <c r="E13" s="20">
        <f>E9+E10+E11+E12</f>
        <v>923398474.8298494</v>
      </c>
      <c r="F13" s="20">
        <f>F9+F10+F11+F12</f>
        <v>987755533.5891496</v>
      </c>
    </row>
    <row r="14" spans="1:6" x14ac:dyDescent="0.25">
      <c r="A14" t="s">
        <v>50</v>
      </c>
      <c r="B14" s="21">
        <f>1/(1+Assumptions!$B$26)^(1-0.5*Assumptions!$B$32)</f>
        <v>0.9677549974642657</v>
      </c>
      <c r="C14" s="21">
        <f>1/(1+Assumptions!$B$26)^(2-0.5*Assumptions!$B$32)</f>
        <v>0.9063506865333703</v>
      </c>
      <c r="D14" s="21">
        <f>1/(1+Assumptions!$B$26)^(3-0.5*Assumptions!$B$32)</f>
        <v>0.8488424953959944</v>
      </c>
      <c r="E14" s="21">
        <f>1/(1+Assumptions!$B$26)^(4-0.5*Assumptions!$B$32)</f>
        <v>0.7949832142192237</v>
      </c>
      <c r="F14" s="21">
        <f>1/(1+Assumptions!$B$26)^(5-0.5*Assumptions!$B$32)</f>
        <v>0.7445413186995238</v>
      </c>
    </row>
    <row r="15" spans="1:6" x14ac:dyDescent="0.25">
      <c r="A15" s="19" t="s">
        <v>51</v>
      </c>
      <c r="B15" s="20">
        <f>B13*B14</f>
        <v>730085326.9299241</v>
      </c>
      <c r="C15" s="20">
        <f>C13*C14</f>
        <v>731416551.6547053</v>
      </c>
      <c r="D15" s="20">
        <f>D13*D14</f>
        <v>732750203.7112001</v>
      </c>
      <c r="E15" s="20">
        <f>E13*E14</f>
        <v>734086287.5253626</v>
      </c>
      <c r="F15" s="20">
        <f>F13*F14</f>
        <v>735424807.5312172</v>
      </c>
    </row>
    <row r="17" spans="1:2" x14ac:dyDescent="0.25">
      <c r="A17" s="22" t="s">
        <v>52</v>
      </c>
      <c r="B17" s="23">
        <f>SUM(B15:F15)</f>
        <v>3663763177.3524094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987755533.5891496</v>
      </c>
    </row>
    <row r="5" spans="1:2" x14ac:dyDescent="0.25">
      <c r="A5" t="s">
        <v>56</v>
      </c>
      <c r="B5" s="18">
        <f>IF(Assumptions!$B$33=0,B4,B4-Forecast!F11-Forecast!F10-Forecast!F12)</f>
        <v>1010392037.4330114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0.36728492040695365</v>
      </c>
    </row>
    <row r="7" spans="1:2" x14ac:dyDescent="0.25">
      <c r="A7" t="s">
        <v>58</v>
      </c>
      <c r="B7" s="18">
        <f>-MAX(Forecast!F9,0)*B6</f>
        <v>-371101759.0484033</v>
      </c>
    </row>
    <row r="8" spans="1:2" x14ac:dyDescent="0.25">
      <c r="A8" t="s">
        <v>59</v>
      </c>
      <c r="B8" s="18">
        <f>IF(OR(Assumptions!$B$33=0,Assumptions!B12&lt;=0),B5,MAX(B5+B7,0))</f>
        <v>639290278.384608</v>
      </c>
    </row>
    <row r="9" spans="1:2" x14ac:dyDescent="0.25">
      <c r="A9" t="s">
        <v>60</v>
      </c>
      <c r="B9" s="18">
        <f>B8*(1+Assumptions!B12)/(Assumptions!B26-Assumptions!B12)</f>
        <v>15328387590.547422</v>
      </c>
    </row>
    <row r="10" spans="1:2" x14ac:dyDescent="0.25">
      <c r="A10" t="s">
        <v>61</v>
      </c>
      <c r="B10" s="18">
        <f>B9/(1+Assumptions!B26)^(5-0.5*Assumptions!B32)</f>
        <v>11412617910.203594</v>
      </c>
    </row>
    <row r="11" spans="1:2" x14ac:dyDescent="0.25">
      <c r="A11" t="s">
        <v>62</v>
      </c>
      <c r="B11" s="18">
        <f>Forecast!B17+B10</f>
        <v>15076381087.556004</v>
      </c>
    </row>
    <row r="12" spans="1:2" x14ac:dyDescent="0.25">
      <c r="A12" t="s">
        <v>63</v>
      </c>
      <c r="B12" s="18">
        <f>-Assumptions!B30</f>
        <v>-3641900000</v>
      </c>
    </row>
    <row r="13" spans="1:2" x14ac:dyDescent="0.25">
      <c r="A13" t="s">
        <v>64</v>
      </c>
      <c r="B13" s="18">
        <f>B11+B12</f>
        <v>11434481087.556004</v>
      </c>
    </row>
    <row r="14" spans="1:2" x14ac:dyDescent="0.25">
      <c r="A14" s="19" t="s">
        <v>65</v>
      </c>
      <c r="B14" s="24">
        <f>B13/Assumptions!B31</f>
        <v>17.705916828052032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1560871753.354827</v>
      </c>
    </row>
    <row r="18" spans="1:2" x14ac:dyDescent="0.25">
      <c r="A18" t="s">
        <v>60</v>
      </c>
      <c r="B18" s="18">
        <f>B17*Assumptions!B13</f>
        <v>9439032858.043545</v>
      </c>
    </row>
    <row r="19" spans="1:2" x14ac:dyDescent="0.25">
      <c r="A19" t="s">
        <v>61</v>
      </c>
      <c r="B19" s="18">
        <f>B18/(1+Assumptions!B26)^(5-0.5*Assumptions!B32)</f>
        <v>7027749971.375875</v>
      </c>
    </row>
    <row r="20" spans="1:2" x14ac:dyDescent="0.25">
      <c r="A20" t="s">
        <v>62</v>
      </c>
      <c r="B20" s="18">
        <f>Forecast!B17+B19</f>
        <v>10691513148.728285</v>
      </c>
    </row>
    <row r="21" spans="1:2" x14ac:dyDescent="0.25">
      <c r="A21" t="s">
        <v>63</v>
      </c>
      <c r="B21" s="18">
        <f>-Assumptions!B30</f>
        <v>-3641900000</v>
      </c>
    </row>
    <row r="22" spans="1:2" x14ac:dyDescent="0.25">
      <c r="A22" t="s">
        <v>64</v>
      </c>
      <c r="B22" s="18">
        <f>B20+B21</f>
        <v>7049613148.728285</v>
      </c>
    </row>
    <row r="23" spans="1:2" x14ac:dyDescent="0.25">
      <c r="A23" s="19" t="s">
        <v>65</v>
      </c>
      <c r="B23" s="25">
        <f>B22/Assumptions!B31</f>
        <v>10.916093448015307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476.7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1770.5916828052032</v>
      </c>
    </row>
    <row r="29" spans="1:2" x14ac:dyDescent="0.25">
      <c r="A29" s="19" t="s">
        <v>73</v>
      </c>
      <c r="B29" s="12">
        <f>B28/B26-1</f>
        <v>2.7142682668454023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0.047749</v>
      </c>
      <c r="B5" s="31">
        <v>30.958172335783484</v>
      </c>
      <c r="C5" s="31">
        <v>33.23387516390239</v>
      </c>
      <c r="D5" s="31">
        <v>36.468976080128286</v>
      </c>
      <c r="E5" s="31">
        <v>41.47427971129117</v>
      </c>
      <c r="F5" s="31">
        <v>50.33254084004489</v>
      </c>
    </row>
    <row r="6" spans="1:6" x14ac:dyDescent="0.25">
      <c r="A6" s="30">
        <v>0.057749</v>
      </c>
      <c r="B6" s="31">
        <v>22.66523660628461</v>
      </c>
      <c r="C6" s="31">
        <v>23.358248805744086</v>
      </c>
      <c r="D6" s="31">
        <v>24.23561554643425</v>
      </c>
      <c r="E6" s="31">
        <v>25.39699152288318</v>
      </c>
      <c r="F6" s="31">
        <v>27.029643803374395</v>
      </c>
    </row>
    <row r="7" spans="1:6" x14ac:dyDescent="0.25">
      <c r="A7" s="30">
        <v>0.067749</v>
      </c>
      <c r="B7" s="31">
        <v>17.50898389000693</v>
      </c>
      <c r="C7" s="31">
        <v>17.606089423747413</v>
      </c>
      <c r="D7" s="32">
        <v>17.70589375261397</v>
      </c>
      <c r="E7" s="31">
        <v>17.809469273938774</v>
      </c>
      <c r="F7" s="31">
        <v>17.918543304185615</v>
      </c>
    </row>
    <row r="8" spans="1:6" x14ac:dyDescent="0.25">
      <c r="A8" s="30">
        <v>0.077749</v>
      </c>
      <c r="B8" s="31">
        <v>14.486022979181325</v>
      </c>
      <c r="C8" s="31">
        <v>14.55785825080793</v>
      </c>
      <c r="D8" s="31">
        <v>14.62969352243453</v>
      </c>
      <c r="E8" s="31">
        <v>14.701528794061135</v>
      </c>
      <c r="F8" s="31">
        <v>14.77336406568774</v>
      </c>
    </row>
    <row r="9" spans="1:6" x14ac:dyDescent="0.25">
      <c r="A9" s="30">
        <v>0.087749</v>
      </c>
      <c r="B9" s="31">
        <v>12.172877443845938</v>
      </c>
      <c r="C9" s="31">
        <v>12.233935164220124</v>
      </c>
      <c r="D9" s="31">
        <v>12.294992884594304</v>
      </c>
      <c r="E9" s="31">
        <v>12.356050604968495</v>
      </c>
      <c r="F9" s="31">
        <v>12.417108325342678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5259400000</v>
      </c>
      <c r="C5" s="18">
        <v>5089200000</v>
      </c>
      <c r="D5" s="18">
        <v>4769600000</v>
      </c>
      <c r="E5" s="18">
        <v>4296900000</v>
      </c>
      <c r="F5" s="8" t="s">
        <v>84</v>
      </c>
    </row>
    <row r="6" spans="1:6" x14ac:dyDescent="0.25">
      <c r="A6" t="s">
        <v>44</v>
      </c>
      <c r="B6" s="18">
        <v>495700000</v>
      </c>
      <c r="C6" s="18">
        <v>433400000</v>
      </c>
      <c r="D6" s="18">
        <v>412500000</v>
      </c>
      <c r="E6" s="18">
        <v>610900000</v>
      </c>
      <c r="F6" s="8" t="s">
        <v>85</v>
      </c>
    </row>
    <row r="7" spans="1:6" x14ac:dyDescent="0.25">
      <c r="A7" t="s">
        <v>86</v>
      </c>
      <c r="B7" s="18">
        <v>611000000</v>
      </c>
      <c r="C7" s="18">
        <v>631800000</v>
      </c>
      <c r="D7" s="18">
        <v>556100000</v>
      </c>
      <c r="E7" s="18">
        <v>355000000</v>
      </c>
      <c r="F7" s="8" t="s">
        <v>87</v>
      </c>
    </row>
    <row r="8" spans="1:6" x14ac:dyDescent="0.25">
      <c r="A8" t="s">
        <v>88</v>
      </c>
      <c r="B8" s="18">
        <v>339500000</v>
      </c>
      <c r="C8" s="18">
        <v>298300000</v>
      </c>
      <c r="D8" s="18">
        <v>260600000</v>
      </c>
      <c r="E8" s="18">
        <v>212000000</v>
      </c>
      <c r="F8" s="8" t="s">
        <v>89</v>
      </c>
    </row>
    <row r="9" spans="1:6" x14ac:dyDescent="0.25">
      <c r="A9" t="s">
        <v>90</v>
      </c>
      <c r="B9" s="18">
        <v>48000000</v>
      </c>
      <c r="C9" s="18">
        <v>-22000000</v>
      </c>
      <c r="D9" s="18">
        <v>-609000000</v>
      </c>
      <c r="E9" s="18">
        <v>45900000</v>
      </c>
      <c r="F9" s="8" t="s">
        <v>91</v>
      </c>
    </row>
    <row r="10" spans="1:6" x14ac:dyDescent="0.25">
      <c r="A10" t="s">
        <v>92</v>
      </c>
      <c r="B10" s="18">
        <v>3992200000</v>
      </c>
      <c r="C10" s="18">
        <v>3955700000</v>
      </c>
      <c r="D10" s="18">
        <v>3633900000</v>
      </c>
      <c r="E10" s="18">
        <v>3394900000</v>
      </c>
      <c r="F10" s="8" t="s">
        <v>93</v>
      </c>
    </row>
    <row r="11" spans="1:6" x14ac:dyDescent="0.25">
      <c r="A11" t="s">
        <v>94</v>
      </c>
      <c r="B11" s="18">
        <v>350300000</v>
      </c>
      <c r="C11" s="18">
        <v>390600000</v>
      </c>
      <c r="D11" s="18">
        <v>246000000</v>
      </c>
      <c r="E11" s="18">
        <v>606400000</v>
      </c>
      <c r="F11" s="8" t="s">
        <v>95</v>
      </c>
    </row>
    <row r="12" spans="1:6" x14ac:dyDescent="0.25">
      <c r="A12" t="s">
        <v>32</v>
      </c>
      <c r="B12" s="34">
        <v>645800000</v>
      </c>
      <c r="C12" s="34">
        <v>644300000</v>
      </c>
      <c r="D12" s="34">
        <v>617500000</v>
      </c>
      <c r="E12" s="34">
        <v>592700000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2026-09-19T01:05:12Z</dcterms:modified>
</cp:coreProperties>
</file>