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<sst xmlns="http://schemas.openxmlformats.org/spreadsheetml/2006/main" count="112" uniqueCount="100">
  <si>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EOG Resources, Inc. (EOG)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</si>
  <si>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</si>
  <si>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</si>
  <si>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</si>
  <si>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</si>
  <si>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</si>
  <si>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</si>
  <si>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</si>
  <si>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</si>
  <si>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</si>
  <si>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</si>
  <si>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</si>
  <si>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</si>
  <si>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</si>
  <si>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</si>
  <si>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</si>
  <si>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</si>
  <si>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</si>
  <si>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</si>
  <si>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</si>
  <si>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</si>
  <si>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</si>
  <si>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</si>
  <si>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</si>
  <si>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</si>
  <si>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</si>
  <si>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</si>
  <si>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</si>
  <si>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</si>
  <si>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</si>
  <si>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</si>
  <si>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</si>
  <si>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</si>
  <si>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</si>
  <si>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</si>
  <si>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</si>
  <si>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</si>
  <si>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</si>
  <si>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</si>
  <si>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</si>
  <si>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</si>
  <si>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</si>
  <si>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</si>
  <si>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</si>
  <si>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</si>
  <si>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</si>
  <si>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</si>
  <si>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</si>
  <si>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</si>
  <si>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</si>
  <si>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</si>
  <si>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</si>
  <si>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</si>
  <si>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</si>
  <si>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</si>
  <si>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</si>
  <si>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</si>
  <si>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</si>
  <si>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</si>
  <si>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</si>
  <si>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</si>
  <si>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</si>
  <si>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</si>
  <si>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</si>
  <si>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</si>
  <si>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</si>
  <si>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</si>
  <si>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</si>
  <si>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</si>
  <si>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</si>
  <si>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</si>
  <si>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</si>
  <si>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</si>
  <si>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</si>
  <si>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</si>
  <si>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</si>
  <si>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</si>
  <si>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</si>
  <si>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</si>
  <si>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</si>
  <si>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</si>
  <si>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</si>
  <si>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</si>
  <si>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</si>
  <si>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</si>
  <si>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</si>
  <si>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</si>
  <si>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</si>
  <si>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</si>
  <si>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</si>
  <si>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</si>
  <si>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</si>
  <si>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</si>
  <si>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</si>
  <si>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</si>
  <si>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</si>
  <si>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</si>
  <si>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</si>
  <si>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25.0% of revenue against depreciation of 16.1%.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</si>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</sst>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-0.08514403108878354</v>
      </c>
    </row>
    <row r="7" spans="1:2" x14ac:dyDescent="0.25">
      <c r="A7" t="s">
        <v>5</v>
      </c>
      <c r="B7" s="6">
        <v>0.3852587908101887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0.1610004901526751</v>
      </c>
    </row>
    <row r="10" spans="1:2" x14ac:dyDescent="0.25">
      <c r="A10" t="s">
        <v>8</v>
      </c>
      <c r="B10" s="6">
        <v>0.25022643989093457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6.887955039877038</v>
      </c>
    </row>
    <row r="14" spans="1:3" x14ac:dyDescent="0.25">
      <c r="A14" t="s">
        <v>12</v>
      </c>
      <c r="B14" s="6">
        <v>0.2067915668222291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0.51224</v>
      </c>
      <c r="C19" s="8" t="s">
        <v>19</v>
      </c>
    </row>
    <row r="20" spans="1:2" x14ac:dyDescent="0.25">
      <c r="A20" t="s">
        <v>20</v>
      </c>
      <c r="B20" s="10">
        <f>B17+B19*B18</f>
        <v>0.0781532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75652841472</v>
      </c>
    </row>
    <row r="23" spans="1:2" x14ac:dyDescent="0.25">
      <c r="A23" t="s">
        <v>24</v>
      </c>
      <c r="B23" s="11">
        <v>8408000000</v>
      </c>
    </row>
    <row r="24" spans="1:2" x14ac:dyDescent="0.25">
      <c r="A24" t="s">
        <v>25</v>
      </c>
      <c r="B24" s="10">
        <f>B22/(B22+B23)</f>
        <v>0.8999772087363574</v>
      </c>
    </row>
    <row r="25" spans="1:2" x14ac:dyDescent="0.25">
      <c r="A25" t="s">
        <v>26</v>
      </c>
      <c r="B25" s="10">
        <f>1-B24</f>
        <v>0.10002279126364255</v>
      </c>
    </row>
    <row r="26" spans="1:2" x14ac:dyDescent="0.25">
      <c r="A26" t="s">
        <v>27</v>
      </c>
      <c r="B26" s="12">
        <f>B24*B20+B25*B21*(1-B8)</f>
        <v>0.07428541868462621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22582000000</v>
      </c>
      <c r="C29" s="8" t="s">
        <v>30</v>
      </c>
    </row>
    <row r="30" spans="1:2" x14ac:dyDescent="0.25">
      <c r="A30" t="s">
        <v>31</v>
      </c>
      <c r="B30" s="11">
        <v>5012000000</v>
      </c>
    </row>
    <row r="31" spans="1:2" x14ac:dyDescent="0.25">
      <c r="A31" t="s">
        <v>32</v>
      </c>
      <c r="B31" s="13">
        <v>546000000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-0.08514403108878354</v>
      </c>
      <c r="C5" s="10">
        <f>Assumptions!B6</f>
        <v>-0.08514403108878354</v>
      </c>
      <c r="D5" s="10">
        <f>Assumptions!B6</f>
        <v>-0.08514403108878354</v>
      </c>
      <c r="E5" s="10">
        <f>Assumptions!B6</f>
        <v>-0.08514403108878354</v>
      </c>
      <c r="F5" s="10">
        <f>Assumptions!B6</f>
        <v>-0.08514403108878354</v>
      </c>
    </row>
    <row r="6" spans="1:6" x14ac:dyDescent="0.25">
      <c r="A6" t="s">
        <v>43</v>
      </c>
      <c r="B6" s="18">
        <f>Assumptions!B29*(1+B5)</f>
        <v>20659277489.95309</v>
      </c>
      <c r="C6" s="18">
        <f>B6*(1+C5)</f>
        <v>18900263325.076717</v>
      </c>
      <c r="D6" s="18">
        <f>C6*(1+D5)</f>
        <v>17291018716.94019</v>
      </c>
      <c r="E6" s="18">
        <f>D6*(1+E5)</f>
        <v>15818791681.748295</v>
      </c>
      <c r="F6" s="18">
        <f>E6*(1+F5)</f>
        <v>14471915991.010527</v>
      </c>
    </row>
    <row r="7" spans="1:6" x14ac:dyDescent="0.25">
      <c r="A7" t="s">
        <v>5</v>
      </c>
      <c r="B7" s="10">
        <f>Assumptions!B7</f>
        <v>0.3852587908101887</v>
      </c>
      <c r="C7" s="10">
        <f>Assumptions!B7</f>
        <v>0.3852587908101887</v>
      </c>
      <c r="D7" s="10">
        <f>Assumptions!B7</f>
        <v>0.3852587908101887</v>
      </c>
      <c r="E7" s="10">
        <f>Assumptions!B7</f>
        <v>0.3852587908101887</v>
      </c>
      <c r="F7" s="10">
        <f>Assumptions!B7</f>
        <v>0.3852587908101887</v>
      </c>
    </row>
    <row r="8" spans="1:6" x14ac:dyDescent="0.25">
      <c r="A8" t="s">
        <v>44</v>
      </c>
      <c r="B8" s="18">
        <f>B6*B7</f>
        <v>7959168264.791478</v>
      </c>
      <c r="C8" s="18">
        <f>C6*C7</f>
        <v>7281492594.613213</v>
      </c>
      <c r="D8" s="18">
        <f>D6*D7</f>
        <v>6661516962.764718</v>
      </c>
      <c r="E8" s="18">
        <f>E6*E7</f>
        <v>6094328555.388619</v>
      </c>
      <c r="F8" s="18">
        <f>F6*F7</f>
        <v>5575432855.403349</v>
      </c>
    </row>
    <row r="9" spans="1:6" x14ac:dyDescent="0.25">
      <c r="A9" t="s">
        <v>45</v>
      </c>
      <c r="B9" s="18">
        <f>B8*(1-Assumptions!B8)</f>
        <v>6287742929.185268</v>
      </c>
      <c r="C9" s="18">
        <f>C8*(1-Assumptions!B8)</f>
        <v>5752379149.744438</v>
      </c>
      <c r="D9" s="18">
        <f>D8*(1-Assumptions!B8)</f>
        <v>5262598400.584127</v>
      </c>
      <c r="E9" s="18">
        <f>E8*(1-Assumptions!B8)</f>
        <v>4814519558.7570095</v>
      </c>
      <c r="F9" s="18">
        <f>F8*(1-Assumptions!B8)</f>
        <v>4404591955.768646</v>
      </c>
    </row>
    <row r="10" spans="1:6" x14ac:dyDescent="0.25">
      <c r="A10" t="s">
        <v>46</v>
      </c>
      <c r="B10" s="18">
        <f>B6*Assumptions!B9</f>
        <v>3326153802.082575</v>
      </c>
      <c r="C10" s="18">
        <f>C6*Assumptions!B9</f>
        <v>3042951659.35198</v>
      </c>
      <c r="D10" s="18">
        <f>D6*Assumptions!B9</f>
        <v>2783862488.6664495</v>
      </c>
      <c r="E10" s="18">
        <f>E6*Assumptions!B9</f>
        <v>2546833214.384535</v>
      </c>
      <c r="F10" s="18">
        <f>F6*Assumptions!B9</f>
        <v>2329985568.0010314</v>
      </c>
    </row>
    <row r="11" spans="1:6" x14ac:dyDescent="0.25">
      <c r="A11" t="s">
        <v>47</v>
      </c>
      <c r="B11" s="18">
        <f>-B6*Assumptions!B10</f>
        <v>-5169497457.029884</v>
      </c>
      <c r="C11" s="18">
        <f>-C6*Assumptions!B10</f>
        <v>-4729345604.835144</v>
      </c>
      <c r="D11" s="18">
        <f>-D6*Assumptions!B10</f>
        <v>-4326670055.627459</v>
      </c>
      <c r="E11" s="18">
        <f>-E6*Assumptions!B10</f>
        <v>-3958279925.9002056</v>
      </c>
      <c r="F11" s="18">
        <f>-F6*Assumptions!B10</f>
        <v>-3621256016.83125</v>
      </c>
    </row>
    <row r="12" spans="1:6" x14ac:dyDescent="0.25">
      <c r="A12" t="s">
        <v>48</v>
      </c>
      <c r="B12" s="18">
        <f>-(B6-Assumptions!B29)*Assumptions!B11</f>
        <v>-1922722510.0469093</v>
      </c>
      <c r="C12" s="18">
        <f>-(C6-B6)*Assumptions!B11</f>
        <v>-1759014164.8763733</v>
      </c>
      <c r="D12" s="18">
        <f>-(D6-C6)*Assumptions!B11</f>
        <v>-1609244608.136528</v>
      </c>
      <c r="E12" s="18">
        <f>-(E6-D6)*Assumptions!B11</f>
        <v>-1472227035.1918945</v>
      </c>
      <c r="F12" s="18">
        <f>-(F6-E6)*Assumptions!B11</f>
        <v>-1346875690.7377682</v>
      </c>
    </row>
    <row r="13" spans="1:6" x14ac:dyDescent="0.25">
      <c r="A13" s="19" t="s">
        <v>49</v>
      </c>
      <c r="B13" s="20">
        <f>B9+B10+B11+B12</f>
        <v>2521676764.1910496</v>
      </c>
      <c r="C13" s="20">
        <f>C9+C10+C11+C12</f>
        <v>2306971039.384901</v>
      </c>
      <c r="D13" s="20">
        <f>D9+D10+D11+D12</f>
        <v>2110546225.4865904</v>
      </c>
      <c r="E13" s="20">
        <f>E9+E10+E11+E12</f>
        <v>1930845812.0494442</v>
      </c>
      <c r="F13" s="20">
        <f>F9+F10+F11+F12</f>
        <v>1766445816.2006598</v>
      </c>
    </row>
    <row r="14" spans="1:6" x14ac:dyDescent="0.25">
      <c r="A14" t="s">
        <v>50</v>
      </c>
      <c r="B14" s="21">
        <f>1/(1+Assumptions!$B$26)^(1-0.5*Assumptions!$B$32)</f>
        <v>0.9648063639733017</v>
      </c>
      <c r="C14" s="21">
        <f>1/(1+Assumptions!$B$26)^(2-0.5*Assumptions!$B$32)</f>
        <v>0.8980912774136202</v>
      </c>
      <c r="D14" s="21">
        <f>1/(1+Assumptions!$B$26)^(3-0.5*Assumptions!$B$32)</f>
        <v>0.8359894510280692</v>
      </c>
      <c r="E14" s="21">
        <f>1/(1+Assumptions!$B$26)^(4-0.5*Assumptions!$B$32)</f>
        <v>0.7781818839649421</v>
      </c>
      <c r="F14" s="21">
        <f>1/(1+Assumptions!$B$26)^(5-0.5*Assumptions!$B$32)</f>
        <v>0.7243716338603586</v>
      </c>
    </row>
    <row r="15" spans="1:6" x14ac:dyDescent="0.25">
      <c r="A15" s="19" t="s">
        <v>51</v>
      </c>
      <c r="B15" s="20">
        <f>B13*B14</f>
        <v>2432929789.975127</v>
      </c>
      <c r="C15" s="20">
        <f>C13*C14</f>
        <v>2071870567.7174127</v>
      </c>
      <c r="D15" s="20">
        <f>D13*D14</f>
        <v>1764394380.4138982</v>
      </c>
      <c r="E15" s="20">
        <f>E13*E14</f>
        <v>1502549231.666455</v>
      </c>
      <c r="F15" s="20">
        <f>F13*F14</f>
        <v>1279563242.0070667</v>
      </c>
    </row>
    <row r="17" spans="1:2" x14ac:dyDescent="0.25">
      <c r="A17" s="22" t="s">
        <v>52</v>
      </c>
      <c r="B17" s="23">
        <f>SUM(B15:F15)</f>
        <v>9051307211.77996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1766445816.2006598</v>
      </c>
    </row>
    <row r="5" spans="1:2" x14ac:dyDescent="0.25">
      <c r="A5" t="s">
        <v>56</v>
      </c>
      <c r="B5" s="18">
        <f>IF(Assumptions!$B$33=0,B4,B4-Forecast!F11-Forecast!F10-Forecast!F12)</f>
        <v>4404591955.768646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0.12089467856052155</v>
      </c>
    </row>
    <row r="7" spans="1:2" x14ac:dyDescent="0.25">
      <c r="A7" t="s">
        <v>58</v>
      </c>
      <c r="B7" s="18">
        <f>-MAX(Forecast!F9,0)*B6</f>
        <v>-532491728.6829094</v>
      </c>
    </row>
    <row r="8" spans="1:2" x14ac:dyDescent="0.25">
      <c r="A8" t="s">
        <v>59</v>
      </c>
      <c r="B8" s="18">
        <f>IF(OR(Assumptions!$B$33=0,Assumptions!B12&lt;=0),B5,MAX(B5+B7,0))</f>
        <v>3872100227.0857368</v>
      </c>
    </row>
    <row r="9" spans="1:2" x14ac:dyDescent="0.25">
      <c r="A9" t="s">
        <v>60</v>
      </c>
      <c r="B9" s="18">
        <f>B8*(1+Assumptions!B12)/(Assumptions!B26-Assumptions!B12)</f>
        <v>80528944233.17368</v>
      </c>
    </row>
    <row r="10" spans="1:2" x14ac:dyDescent="0.25">
      <c r="A10" t="s">
        <v>61</v>
      </c>
      <c r="B10" s="18">
        <f>B9/(1+Assumptions!B26)^(5-0.5*Assumptions!B32)</f>
        <v>58332882907.23372</v>
      </c>
    </row>
    <row r="11" spans="1:2" x14ac:dyDescent="0.25">
      <c r="A11" t="s">
        <v>62</v>
      </c>
      <c r="B11" s="18">
        <f>Forecast!B17+B10</f>
        <v>67384190119.01368</v>
      </c>
    </row>
    <row r="12" spans="1:2" x14ac:dyDescent="0.25">
      <c r="A12" t="s">
        <v>63</v>
      </c>
      <c r="B12" s="18">
        <f>-Assumptions!B30</f>
        <v>-5012000000</v>
      </c>
    </row>
    <row r="13" spans="1:2" x14ac:dyDescent="0.25">
      <c r="A13" t="s">
        <v>64</v>
      </c>
      <c r="B13" s="18">
        <f>B11+B12</f>
        <v>62372190119.01368</v>
      </c>
    </row>
    <row r="14" spans="1:2" x14ac:dyDescent="0.25">
      <c r="A14" s="19" t="s">
        <v>65</v>
      </c>
      <c r="B14" s="24">
        <f>B13/Assumptions!B31</f>
        <v>114.234780437754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7905418423.404381</v>
      </c>
    </row>
    <row r="18" spans="1:2" x14ac:dyDescent="0.25">
      <c r="A18" t="s">
        <v>60</v>
      </c>
      <c r="B18" s="18">
        <f>B17*Assumptions!B13</f>
        <v>54452166671.825</v>
      </c>
    </row>
    <row r="19" spans="1:2" x14ac:dyDescent="0.25">
      <c r="A19" t="s">
        <v>61</v>
      </c>
      <c r="B19" s="18">
        <f>B18/(1+Assumptions!B26)^(5-0.5*Assumptions!B32)</f>
        <v>39443604939.30644</v>
      </c>
    </row>
    <row r="20" spans="1:2" x14ac:dyDescent="0.25">
      <c r="A20" t="s">
        <v>62</v>
      </c>
      <c r="B20" s="18">
        <f>Forecast!B17+B19</f>
        <v>48494912151.0864</v>
      </c>
    </row>
    <row r="21" spans="1:2" x14ac:dyDescent="0.25">
      <c r="A21" t="s">
        <v>63</v>
      </c>
      <c r="B21" s="18">
        <f>-Assumptions!B30</f>
        <v>-5012000000</v>
      </c>
    </row>
    <row r="22" spans="1:2" x14ac:dyDescent="0.25">
      <c r="A22" t="s">
        <v>64</v>
      </c>
      <c r="B22" s="18">
        <f>B20+B21</f>
        <v>43482912151.0864</v>
      </c>
    </row>
    <row r="23" spans="1:2" x14ac:dyDescent="0.25">
      <c r="A23" s="19" t="s">
        <v>65</v>
      </c>
      <c r="B23" s="25">
        <f>B22/Assumptions!B31</f>
        <v>79.63903324374799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144.23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114.234780437754</v>
      </c>
    </row>
    <row r="29" spans="1:2" x14ac:dyDescent="0.25">
      <c r="A29" s="19" t="s">
        <v>73</v>
      </c>
      <c r="B29" s="12">
        <f>B28/B26-1</f>
        <v>-0.2079679647940511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0.054285</v>
      </c>
      <c r="B5" s="31">
        <v>160.4813822876615</v>
      </c>
      <c r="C5" s="31">
        <v>178.99015628470522</v>
      </c>
      <c r="D5" s="31">
        <v>203.76664942488568</v>
      </c>
      <c r="E5" s="31">
        <v>238.68221386579205</v>
      </c>
      <c r="F5" s="31">
        <v>291.62308603526395</v>
      </c>
    </row>
    <row r="6" spans="1:6" x14ac:dyDescent="0.25">
      <c r="A6" s="30">
        <v>0.064285</v>
      </c>
      <c r="B6" s="31">
        <v>124.15392097647172</v>
      </c>
      <c r="C6" s="31">
        <v>134.54154217432335</v>
      </c>
      <c r="D6" s="31">
        <v>147.53582185470808</v>
      </c>
      <c r="E6" s="31">
        <v>164.27719686283513</v>
      </c>
      <c r="F6" s="31">
        <v>186.6849579590301</v>
      </c>
    </row>
    <row r="7" spans="1:6" x14ac:dyDescent="0.25">
      <c r="A7" s="30">
        <v>0.074285</v>
      </c>
      <c r="B7" s="31">
        <v>100.18629530337932</v>
      </c>
      <c r="C7" s="31">
        <v>106.57707685899973</v>
      </c>
      <c r="D7" s="32">
        <v>114.23588950588017</v>
      </c>
      <c r="E7" s="31">
        <v>123.59223457333987</v>
      </c>
      <c r="F7" s="31">
        <v>135.29427258851865</v>
      </c>
    </row>
    <row r="8" spans="1:6" x14ac:dyDescent="0.25">
      <c r="A8" s="30">
        <v>0.084285</v>
      </c>
      <c r="B8" s="31">
        <v>83.22123809500592</v>
      </c>
      <c r="C8" s="31">
        <v>87.39840796963408</v>
      </c>
      <c r="D8" s="31">
        <v>92.2573100646062</v>
      </c>
      <c r="E8" s="31">
        <v>97.98632023522605</v>
      </c>
      <c r="F8" s="31">
        <v>104.85025782073903</v>
      </c>
    </row>
    <row r="9" spans="1:6" x14ac:dyDescent="0.25">
      <c r="A9" s="30">
        <v>0.094285</v>
      </c>
      <c r="B9" s="31">
        <v>70.60460492648171</v>
      </c>
      <c r="C9" s="31">
        <v>73.45282806361513</v>
      </c>
      <c r="D9" s="31">
        <v>76.69337093142607</v>
      </c>
      <c r="E9" s="31">
        <v>80.4177758175425</v>
      </c>
      <c r="F9" s="31">
        <v>84.74846711725128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22582000000</v>
      </c>
      <c r="C5" s="18">
        <v>23378000000</v>
      </c>
      <c r="D5" s="18">
        <v>23182000000</v>
      </c>
      <c r="E5" s="18">
        <v>29492000000</v>
      </c>
      <c r="F5" s="8" t="s">
        <v>84</v>
      </c>
    </row>
    <row r="6" spans="1:6" x14ac:dyDescent="0.25">
      <c r="A6" t="s">
        <v>44</v>
      </c>
      <c r="B6" s="18">
        <v>7250000000</v>
      </c>
      <c r="C6" s="18">
        <v>8253000000</v>
      </c>
      <c r="D6" s="18">
        <v>8892000000</v>
      </c>
      <c r="E6" s="18">
        <v>14256000000</v>
      </c>
      <c r="F6" s="8" t="s">
        <v>85</v>
      </c>
    </row>
    <row r="7" spans="1:6" x14ac:dyDescent="0.25">
      <c r="A7" t="s">
        <v>86</v>
      </c>
      <c r="B7" s="18">
        <v>4461000000</v>
      </c>
      <c r="C7" s="18">
        <v>4108000000</v>
      </c>
      <c r="D7" s="18">
        <v>3492000000</v>
      </c>
      <c r="E7" s="18">
        <v>3542000000</v>
      </c>
      <c r="F7" s="8" t="s">
        <v>87</v>
      </c>
    </row>
    <row r="8" spans="1:6" x14ac:dyDescent="0.25">
      <c r="A8" t="s">
        <v>88</v>
      </c>
      <c r="B8" s="18">
        <v>6594000000</v>
      </c>
      <c r="C8" s="18">
        <v>6372000000</v>
      </c>
      <c r="D8" s="18">
        <v>6185000000</v>
      </c>
      <c r="E8" s="18">
        <v>5000000000</v>
      </c>
      <c r="F8" s="8" t="s">
        <v>89</v>
      </c>
    </row>
    <row r="9" spans="1:6" x14ac:dyDescent="0.25">
      <c r="A9" t="s">
        <v>90</v>
      </c>
      <c r="B9" s="18">
        <v>840000000</v>
      </c>
      <c r="C9" s="18">
        <v>-550000000</v>
      </c>
      <c r="D9" s="18">
        <v>-191000000</v>
      </c>
      <c r="E9" s="18">
        <v>1159000000</v>
      </c>
      <c r="F9" s="8" t="s">
        <v>91</v>
      </c>
    </row>
    <row r="10" spans="1:6" x14ac:dyDescent="0.25">
      <c r="A10" t="s">
        <v>92</v>
      </c>
      <c r="B10" s="18">
        <v>8408000000</v>
      </c>
      <c r="C10" s="18">
        <v>5067000000</v>
      </c>
      <c r="D10" s="18">
        <v>4124000000</v>
      </c>
      <c r="E10" s="18">
        <v>5374000000</v>
      </c>
      <c r="F10" s="8" t="s">
        <v>93</v>
      </c>
    </row>
    <row r="11" spans="1:6" x14ac:dyDescent="0.25">
      <c r="A11" t="s">
        <v>94</v>
      </c>
      <c r="B11" s="18">
        <v>3396000000</v>
      </c>
      <c r="C11" s="18">
        <v>7092000000</v>
      </c>
      <c r="D11" s="18">
        <v>5278000000</v>
      </c>
      <c r="E11" s="18">
        <v>5972000000</v>
      </c>
      <c r="F11" s="8" t="s">
        <v>95</v>
      </c>
    </row>
    <row r="12" spans="1:6" x14ac:dyDescent="0.25">
      <c r="A12" t="s">
        <v>32</v>
      </c>
      <c r="B12" s="34">
        <v>546000000</v>
      </c>
      <c r="C12" s="34">
        <v>569000000</v>
      </c>
      <c r="D12" s="34">
        <v>584000000</v>
      </c>
      <c r="E12" s="34">
        <v>587000000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