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<sst xmlns="http://schemas.openxmlformats.org/spreadsheetml/2006/main" count="120" uniqueCount="107">
  <si>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EOG Resources, Inc. (EOG)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</si>
  <si>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</si>
  <si>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</si>
  <si>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</si>
  <si>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</si>
  <si>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</si>
  <si>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</si>
  <si>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</si>
  <si>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</si>
  <si>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</si>
  <si>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</si>
  <si>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</si>
  <si>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</si>
  <si>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</si>
  <si>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</si>
  <si>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</si>
  <si>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</si>
  <si>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</si>
  <si>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</si>
  <si>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</si>
  <si>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</si>
  <si>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</si>
  <si>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</si>
  <si>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</si>
  <si>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30.9x interest cover.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</si>
  <si>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</si>
  <si>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</si>
  <si>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</si>
  <si>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</si>
  <si>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</si>
  <si>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</si>
  <si>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</si>
  <si>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</si>
  <si>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</si>
  <si>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</si>
  <si>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</si>
  <si>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</si>
  <si>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</si>
  <si>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</si>
  <si>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</si>
  <si>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</si>
  <si>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</si>
  <si>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</si>
  <si>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</si>
  <si>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</si>
  <si>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</si>
  <si>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</si>
  <si>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</si>
  <si>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</si>
  <si>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</si>
  <si>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</si>
  <si>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</si>
  <si>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</si>
  <si>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</si>
  <si>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</si>
  <si>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</si>
  <si>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</si>
  <si>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</si>
  <si>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</si>
  <si>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</si>
  <si>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</si>
  <si>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</si>
  <si>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</si>
  <si>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</si>
  <si>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</si>
  <si>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</si>
  <si>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</si>
  <si>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</si>
  <si>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</si>
  <si>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</si>
  <si>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</si>
  <si>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</si>
  <si>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</si>
  <si>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</si>
  <si>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</si>
  <si>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</si>
  <si>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</si>
  <si>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</si>
  <si>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</si>
  <si>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</si>
  <si>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</si>
  <si>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</si>
  <si>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</si>
  <si>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</si>
  <si>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</si>
  <si>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</si>
  <si>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</si>
  <si>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</si>
  <si>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</si>
  <si>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</si>
  <si>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</si>
  <si>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</si>
  <si>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</si>
  <si>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</si>
  <si>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</si>
  <si>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</si>
  <si>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</si>
  <si>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</si>
  <si>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</si>
  <si>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</si>
  <si>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</si>
  <si>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</si>
  <si>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</si>
  <si>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</si>
  <si>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</si>
  <si>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25.0% of revenue against depreciation of 16.1%.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</si>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</sst>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0.3240124337968293</v>
      </c>
    </row>
    <row r="7" spans="1:2" x14ac:dyDescent="0.25">
      <c r="A7" t="s">
        <v>4</v>
      </c>
      <c r="B7" s="5">
        <v>0.3852587908101887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0.1610004901526751</v>
      </c>
    </row>
    <row r="10" spans="1:3" x14ac:dyDescent="0.25">
      <c r="A10" t="s">
        <v>7</v>
      </c>
      <c r="B10" s="5">
        <v>0.25022643989093457</v>
      </c>
      <c r="C10" s="6" t="s">
        <v>8</v>
      </c>
    </row>
    <row r="11" spans="1:2" x14ac:dyDescent="0.25">
      <c r="A11" t="s">
        <v>9</v>
      </c>
      <c r="B11" s="5">
        <v>0.04708478924212858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7.842417823926223</v>
      </c>
    </row>
    <row r="14" spans="1:3" x14ac:dyDescent="0.25">
      <c r="A14" t="s">
        <v>12</v>
      </c>
      <c r="B14" s="5">
        <v>0.2067915668222291</v>
      </c>
      <c r="C14" s="6" t="s">
        <v>13</v>
      </c>
    </row>
    <row r="15" spans="1:3" x14ac:dyDescent="0.25">
      <c r="A15" t="s">
        <v>14</v>
      </c>
      <c r="B15" s="5">
        <v>0.1610004901526751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0.57857</v>
      </c>
      <c r="C19" s="6" t="s">
        <v>21</v>
      </c>
    </row>
    <row r="20" spans="1:2" x14ac:dyDescent="0.25">
      <c r="A20" t="s">
        <v>22</v>
      </c>
      <c r="B20" s="9">
        <f>B17+B19*B18</f>
        <v>0.073413511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86830555136</v>
      </c>
    </row>
    <row r="23" spans="1:2" x14ac:dyDescent="0.25">
      <c r="A23" t="s">
        <v>26</v>
      </c>
      <c r="B23" s="10">
        <v>8408000000</v>
      </c>
    </row>
    <row r="24" spans="1:2" x14ac:dyDescent="0.25">
      <c r="A24" t="s">
        <v>27</v>
      </c>
      <c r="B24" s="9">
        <f>B22/(B22+B23)</f>
        <v>0.9117164263150209</v>
      </c>
    </row>
    <row r="25" spans="1:2" x14ac:dyDescent="0.25">
      <c r="A25" t="s">
        <v>28</v>
      </c>
      <c r="B25" s="9">
        <f>1-B24</f>
        <v>0.08828357368497908</v>
      </c>
    </row>
    <row r="26" spans="1:2" x14ac:dyDescent="0.25">
      <c r="A26" t="s">
        <v>29</v>
      </c>
      <c r="B26" s="11">
        <f>B24*B20+B25*B21*(1-B8)</f>
        <v>0.0706245524809559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22582000000</v>
      </c>
      <c r="C29" s="6" t="s">
        <v>32</v>
      </c>
    </row>
    <row r="30" spans="1:2" x14ac:dyDescent="0.25">
      <c r="A30" t="s">
        <v>33</v>
      </c>
      <c r="B30" s="10">
        <v>5012000000</v>
      </c>
    </row>
    <row r="31" spans="1:2" x14ac:dyDescent="0.25">
      <c r="A31" t="s">
        <v>34</v>
      </c>
      <c r="B31" s="12">
        <v>546000000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0.3240124337968293</v>
      </c>
      <c r="C5" s="5">
        <v>-0.10015894999954578</v>
      </c>
      <c r="D5" s="5">
        <v>-0.08451408124960255</v>
      </c>
      <c r="E5" s="5">
        <v>-0.06886921249965933</v>
      </c>
      <c r="F5" s="5">
        <v>-0.053224343749716116</v>
      </c>
      <c r="G5" s="5">
        <v>-0.03757947499977289</v>
      </c>
      <c r="H5" s="5">
        <v>-0.021934606249829666</v>
      </c>
      <c r="I5" s="5">
        <v>-0.006289737499886455</v>
      </c>
      <c r="J5" s="5">
        <v>0.00935513125005677</v>
      </c>
      <c r="K5" s="5">
        <v>0.024999999999999994</v>
      </c>
    </row>
    <row r="6" spans="1:11" x14ac:dyDescent="0.25">
      <c r="A6" t="s">
        <v>50</v>
      </c>
      <c r="B6" s="18">
        <f>Assumptions!B29*(1+B5)</f>
        <v>29898848780</v>
      </c>
      <c r="C6" s="18">
        <f>B6*(1+C5)</f>
        <v>26904211480</v>
      </c>
      <c r="D6" s="18">
        <f>C6*(1+D5)</f>
        <v>24630426765.02279</v>
      </c>
      <c r="E6" s="18">
        <f>D6*(1+E5)</f>
        <v>22934148670.18514</v>
      </c>
      <c r="F6" s="18">
        <f>E6*(1+F5)</f>
        <v>21713493657.75611</v>
      </c>
      <c r="G6" s="18">
        <f>F6*(1+G5)</f>
        <v>20897511965.686737</v>
      </c>
      <c r="H6" s="18">
        <f>G6*(1+H5)</f>
        <v>20439133269.118294</v>
      </c>
      <c r="I6" s="18">
        <f>H6*(1+I5)</f>
        <v>20310576486.130344</v>
      </c>
      <c r="J6" s="18">
        <f>I6*(1+J5)</f>
        <v>20500584594.922413</v>
      </c>
      <c r="K6" s="18">
        <f>J6*(1+K5)</f>
        <v>21013099209.79547</v>
      </c>
    </row>
    <row r="7" spans="1:11" x14ac:dyDescent="0.25">
      <c r="A7" t="s">
        <v>4</v>
      </c>
      <c r="B7" s="9">
        <f>Assumptions!B7</f>
        <v>0.3852587908101887</v>
      </c>
      <c r="C7" s="9">
        <f>Assumptions!B7</f>
        <v>0.3852587908101887</v>
      </c>
      <c r="D7" s="9">
        <f>Assumptions!B7</f>
        <v>0.3852587908101887</v>
      </c>
      <c r="E7" s="9">
        <f>Assumptions!B7</f>
        <v>0.3852587908101887</v>
      </c>
      <c r="F7" s="9">
        <f>Assumptions!B7</f>
        <v>0.3852587908101887</v>
      </c>
      <c r="G7" s="9">
        <f>Assumptions!B7</f>
        <v>0.3852587908101887</v>
      </c>
      <c r="H7" s="9">
        <f>Assumptions!B7</f>
        <v>0.3852587908101887</v>
      </c>
      <c r="I7" s="9">
        <f>Assumptions!B7</f>
        <v>0.3852587908101887</v>
      </c>
      <c r="J7" s="9">
        <f>Assumptions!B7</f>
        <v>0.3852587908101887</v>
      </c>
      <c r="K7" s="9">
        <f>Assumptions!B7</f>
        <v>0.3852587908101887</v>
      </c>
    </row>
    <row r="8" spans="1:11" x14ac:dyDescent="0.25">
      <c r="A8" t="s">
        <v>51</v>
      </c>
      <c r="B8" s="18">
        <f>B6*B7</f>
        <v>11518794327.599485</v>
      </c>
      <c r="C8" s="18">
        <f>C6*C7</f>
        <v>10365083982.486397</v>
      </c>
      <c r="D8" s="18">
        <f>D6*D7</f>
        <v>9489088432.631588</v>
      </c>
      <c r="E8" s="18">
        <f>E6*E7</f>
        <v>8835582384.936625</v>
      </c>
      <c r="F8" s="18">
        <f>F6*F7</f>
        <v>8365314310.851821</v>
      </c>
      <c r="G8" s="18">
        <f>G6*G7</f>
        <v>8050950190.841922</v>
      </c>
      <c r="H8" s="18">
        <f>H6*H7</f>
        <v>7874355768.468813</v>
      </c>
      <c r="I8" s="18">
        <f>I6*I7</f>
        <v>7824828137.704428</v>
      </c>
      <c r="J8" s="18">
        <f>J6*J7</f>
        <v>7898030431.941792</v>
      </c>
      <c r="K8" s="18">
        <f>K6*K7</f>
        <v>8095481192.740335</v>
      </c>
    </row>
    <row r="9" spans="1:11" x14ac:dyDescent="0.25">
      <c r="A9" t="s">
        <v>52</v>
      </c>
      <c r="B9" s="18">
        <f>B8*(1-Assumptions!B8)</f>
        <v>9099847518.803595</v>
      </c>
      <c r="C9" s="18">
        <f>C8*(1-Assumptions!B8)</f>
        <v>8188416346.164254</v>
      </c>
      <c r="D9" s="18">
        <f>D8*(1-Assumptions!B8)</f>
        <v>7496379861.7789545</v>
      </c>
      <c r="E9" s="18">
        <f>E8*(1-Assumptions!B8)</f>
        <v>6980110084.099934</v>
      </c>
      <c r="F9" s="18">
        <f>F8*(1-Assumptions!B8)</f>
        <v>6608598305.572939</v>
      </c>
      <c r="G9" s="18">
        <f>G8*(1-Assumptions!B8)</f>
        <v>6360250650.765119</v>
      </c>
      <c r="H9" s="18">
        <f>H8*(1-Assumptions!B8)</f>
        <v>6220741057.090363</v>
      </c>
      <c r="I9" s="18">
        <f>I8*(1-Assumptions!B8)</f>
        <v>6181614228.786498</v>
      </c>
      <c r="J9" s="18">
        <f>J8*(1-Assumptions!B8)</f>
        <v>6239444041.234015</v>
      </c>
      <c r="K9" s="18">
        <f>K8*(1-Assumptions!B8)</f>
        <v>6395430142.264865</v>
      </c>
    </row>
    <row r="10" spans="1:11" x14ac:dyDescent="0.25">
      <c r="A10" t="s">
        <v>53</v>
      </c>
      <c r="B10" s="18">
        <f>B6*Assumptions!B9</f>
        <v>4813729308.580711</v>
      </c>
      <c r="C10" s="18">
        <f>C6*Assumptions!B9</f>
        <v>4331591235.451228</v>
      </c>
      <c r="D10" s="18">
        <f>D6*Assumptions!B9</f>
        <v>3965510781.8382363</v>
      </c>
      <c r="E10" s="18">
        <f>E6*Assumptions!B9</f>
        <v>3692409177.134129</v>
      </c>
      <c r="F10" s="18">
        <f>F6*Assumptions!B9</f>
        <v>3495883121.825736</v>
      </c>
      <c r="G10" s="18">
        <f>G6*Assumptions!B9</f>
        <v>3364509669.4469576</v>
      </c>
      <c r="H10" s="18">
        <f>H6*Assumptions!B9</f>
        <v>3290710474.6238937</v>
      </c>
      <c r="I10" s="18">
        <f>I6*Assumptions!B9</f>
        <v>3270012769.5503826</v>
      </c>
      <c r="J10" s="18">
        <f>J6*Assumptions!B9</f>
        <v>3300604168.198889</v>
      </c>
      <c r="K10" s="18">
        <f>K6*Assumptions!B9</f>
        <v>3383119272.4038606</v>
      </c>
    </row>
    <row r="11" spans="1:11" x14ac:dyDescent="0.25">
      <c r="A11" t="s">
        <v>54</v>
      </c>
      <c r="B11" s="18">
        <f>-B6*B19</f>
        <v>-7481482487.056812</v>
      </c>
      <c r="C11" s="18">
        <f>-C6*C19</f>
        <v>-6575409739.027352</v>
      </c>
      <c r="D11" s="18">
        <f>-D6*D19</f>
        <v>-5876206049.781491</v>
      </c>
      <c r="E11" s="18">
        <f>-E6*E19</f>
        <v>-5337909363.136041</v>
      </c>
      <c r="F11" s="18">
        <f>-F6*F19</f>
        <v>-4927306781.858647</v>
      </c>
      <c r="G11" s="18">
        <f>-G6*G19</f>
        <v>-4620398969.353973</v>
      </c>
      <c r="H11" s="18">
        <f>-H6*H19</f>
        <v>-4399980494.215324</v>
      </c>
      <c r="I11" s="18">
        <f>-I6*I19</f>
        <v>-4253982859.509618</v>
      </c>
      <c r="J11" s="18">
        <f>-J6*J19</f>
        <v>-4174349588.7280297</v>
      </c>
      <c r="K11" s="18">
        <f>-K6*K19</f>
        <v>-4156292743.709242</v>
      </c>
    </row>
    <row r="12" spans="1:11" x14ac:dyDescent="0.25">
      <c r="A12" t="s">
        <v>55</v>
      </c>
      <c r="B12" s="18">
        <f>-(B6-Assumptions!B29)*Assumptions!B11</f>
        <v>-344512282.72282565</v>
      </c>
      <c r="C12" s="18">
        <f>-(C6-B6)*Assumptions!B11</f>
        <v>141001866.12711698</v>
      </c>
      <c r="D12" s="18">
        <f>-(D6-C6)*Assumptions!B11</f>
        <v>107060674.08667539</v>
      </c>
      <c r="E12" s="18">
        <f>-(E6-D6)*Assumptions!B11</f>
        <v>79868896.59147017</v>
      </c>
      <c r="F12" s="18">
        <f>-(F6-E6)*Assumptions!B11</f>
        <v>57474283.99756861</v>
      </c>
      <c r="G12" s="18">
        <f>-(G6-F6)*Assumptions!B11</f>
        <v>38420325.99652194</v>
      </c>
      <c r="H12" s="18">
        <f>-(H6-G6)*Assumptions!B11</f>
        <v>21582664.32100676</v>
      </c>
      <c r="I12" s="18">
        <f>-(I6-H6)*Assumptions!B11</f>
        <v>6053069.032633658</v>
      </c>
      <c r="J12" s="18">
        <f>-(J6-I6)*Assumptions!B11</f>
        <v>-8946491.756769983</v>
      </c>
      <c r="K12" s="18">
        <f>-(K6-J6)*Assumptions!B11</f>
        <v>-24131642.62480865</v>
      </c>
    </row>
    <row r="13" spans="1:11" x14ac:dyDescent="0.25">
      <c r="A13" s="19" t="s">
        <v>56</v>
      </c>
      <c r="B13" s="20">
        <f>B9+B10+B11+B12</f>
        <v>6087582057.604668</v>
      </c>
      <c r="C13" s="20">
        <f>C9+C10+C11+C12</f>
        <v>6085599708.715247</v>
      </c>
      <c r="D13" s="20">
        <f>D9+D10+D11+D12</f>
        <v>5692745267.922376</v>
      </c>
      <c r="E13" s="20">
        <f>E9+E10+E11+E12</f>
        <v>5414478794.689491</v>
      </c>
      <c r="F13" s="20">
        <f>F9+F10+F11+F12</f>
        <v>5234648929.537596</v>
      </c>
      <c r="G13" s="20">
        <f>G9+G10+G11+G12</f>
        <v>5142781676.854625</v>
      </c>
      <c r="H13" s="20">
        <f>H9+H10+H11+H12</f>
        <v>5133053701.819939</v>
      </c>
      <c r="I13" s="20">
        <f>I9+I10+I11+I12</f>
        <v>5203697207.859896</v>
      </c>
      <c r="J13" s="20">
        <f>J9+J10+J11+J12</f>
        <v>5356752128.948104</v>
      </c>
      <c r="K13" s="20">
        <f>K9+K10+K11+K12</f>
        <v>5598125028.334676</v>
      </c>
    </row>
    <row r="14" spans="1:11" x14ac:dyDescent="0.25">
      <c r="A14" t="s">
        <v>57</v>
      </c>
      <c r="B14" s="21">
        <f>1/(1+Assumptions!$B$26)^(1-0.5*Assumptions!$B$32)</f>
        <v>0.9664544733983959</v>
      </c>
      <c r="C14" s="21">
        <f>1/(1+Assumptions!$B$26)^(2-0.5*Assumptions!$B$32)</f>
        <v>0.9027015784000404</v>
      </c>
      <c r="D14" s="21">
        <f>1/(1+Assumptions!$B$26)^(3-0.5*Assumptions!$B$32)</f>
        <v>0.8431541909889999</v>
      </c>
      <c r="E14" s="21">
        <f>1/(1+Assumptions!$B$26)^(4-0.5*Assumptions!$B$32)</f>
        <v>0.787534891699579</v>
      </c>
      <c r="F14" s="21">
        <f>1/(1+Assumptions!$B$26)^(5-0.5*Assumptions!$B$32)</f>
        <v>0.7355845612494373</v>
      </c>
      <c r="G14" s="21">
        <f>1/(1+Assumptions!$B$26)^(6-0.5*Assumptions!$B$32)</f>
        <v>0.6870611733542527</v>
      </c>
      <c r="H14" s="21">
        <f>1/(1+Assumptions!$B$26)^(7-0.5*Assumptions!$B$32)</f>
        <v>0.6417386671752738</v>
      </c>
      <c r="I14" s="21">
        <f>1/(1+Assumptions!$B$26)^(8-0.5*Assumptions!$B$32)</f>
        <v>0.5994058941467149</v>
      </c>
      <c r="J14" s="21">
        <f>1/(1+Assumptions!$B$26)^(9-0.5*Assumptions!$B$32)</f>
        <v>0.5598656342764725</v>
      </c>
      <c r="K14" s="21">
        <f>1/(1+Assumptions!$B$26)^(10-0.5*Assumptions!$B$32)</f>
        <v>0.5229336773373048</v>
      </c>
    </row>
    <row r="15" spans="1:11" x14ac:dyDescent="0.25">
      <c r="A15" s="19" t="s">
        <v>58</v>
      </c>
      <c r="B15" s="20">
        <f>B13*B14</f>
        <v>5883370911.7518425</v>
      </c>
      <c r="C15" s="20">
        <f>C13*C14</f>
        <v>5493480462.56808</v>
      </c>
      <c r="D15" s="20">
        <f>D13*D14</f>
        <v>4799862030.881548</v>
      </c>
      <c r="E15" s="20">
        <f>E13*E14</f>
        <v>4264090971.185456</v>
      </c>
      <c r="F15" s="20">
        <f>F13*F14</f>
        <v>3850526936.128749</v>
      </c>
      <c r="G15" s="20">
        <f>G13*G14</f>
        <v>3533405613.2044897</v>
      </c>
      <c r="H15" s="20">
        <f>H13*H14</f>
        <v>3294079041.145033</v>
      </c>
      <c r="I15" s="20">
        <f>I13*I14</f>
        <v>3119126777.746024</v>
      </c>
      <c r="J15" s="20">
        <f>J13*J14</f>
        <v>2999061428.335375</v>
      </c>
      <c r="K15" s="20">
        <f>K13*K14</f>
        <v>2927448107.2610555</v>
      </c>
    </row>
    <row r="17" spans="1:2" x14ac:dyDescent="0.25">
      <c r="A17" s="22" t="s">
        <v>59</v>
      </c>
      <c r="B17" s="23">
        <f>SUM(B15:K15)</f>
        <v>40164452280.20766</v>
      </c>
    </row>
    <row r="19" spans="1:11" x14ac:dyDescent="0.25">
      <c r="A19" t="s">
        <v>7</v>
      </c>
      <c r="B19" s="9">
        <f>Assumptions!$B$10+($B$20-Assumptions!$B$10)*0/9</f>
        <v>0.25022643989093457</v>
      </c>
      <c r="C19" s="9">
        <f>Assumptions!$B$10+($B$20-Assumptions!$B$10)*1/9</f>
        <v>0.244400760227274</v>
      </c>
      <c r="D19" s="9">
        <f>Assumptions!$B$10+($B$20-Assumptions!$B$10)*2/9</f>
        <v>0.2385750805636134</v>
      </c>
      <c r="E19" s="9">
        <f>Assumptions!$B$10+($B$20-Assumptions!$B$10)*3/9</f>
        <v>0.23274940089995283</v>
      </c>
      <c r="F19" s="9">
        <f>Assumptions!$B$10+($B$20-Assumptions!$B$10)*4/9</f>
        <v>0.22692372123629226</v>
      </c>
      <c r="G19" s="9">
        <f>Assumptions!$B$10+($B$20-Assumptions!$B$10)*5/9</f>
        <v>0.22109804157263166</v>
      </c>
      <c r="H19" s="9">
        <f>Assumptions!$B$10+($B$20-Assumptions!$B$10)*6/9</f>
        <v>0.2152723619089711</v>
      </c>
      <c r="I19" s="9">
        <f>Assumptions!$B$10+($B$20-Assumptions!$B$10)*7/9</f>
        <v>0.20944668224531052</v>
      </c>
      <c r="J19" s="9">
        <f>Assumptions!$B$10+($B$20-Assumptions!$B$10)*8/9</f>
        <v>0.20362100258164995</v>
      </c>
      <c r="K19" s="9">
        <f>Assumptions!$B$10+($B$20-Assumptions!$B$10)*9/9</f>
        <v>0.19779532291798935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0.19779532291798935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5598125028.334676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6395430142.264865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0.12089467856052155</v>
      </c>
    </row>
    <row r="7" spans="1:2" x14ac:dyDescent="0.25">
      <c r="A7" t="s">
        <v>66</v>
      </c>
      <c r="B7" s="18">
        <f>-MAX(B5,0)*B6</f>
        <v>-773173471.3053814</v>
      </c>
    </row>
    <row r="8" spans="1:2" x14ac:dyDescent="0.25">
      <c r="A8" t="s">
        <v>67</v>
      </c>
      <c r="B8" s="18">
        <f>IF(OR(Assumptions!$B$33=0,Assumptions!B12&lt;=0),B5,MAX(B5+B7,0))</f>
        <v>5622256670.959483</v>
      </c>
    </row>
    <row r="9" spans="1:2" x14ac:dyDescent="0.25">
      <c r="A9" t="s">
        <v>68</v>
      </c>
      <c r="B9" s="18">
        <f>B8*(1+Assumptions!B12)/(Assumptions!B26-Assumptions!B12)</f>
        <v>126309470983.60956</v>
      </c>
    </row>
    <row r="10" spans="1:2" x14ac:dyDescent="0.25">
      <c r="A10" t="s">
        <v>69</v>
      </c>
      <c r="B10" s="18">
        <f>B9/(1+Assumptions!B26)^(10-0.5*Assumptions!B32)</f>
        <v>66051476143.98854</v>
      </c>
    </row>
    <row r="11" spans="1:2" x14ac:dyDescent="0.25">
      <c r="A11" t="s">
        <v>70</v>
      </c>
      <c r="B11" s="18">
        <f>Forecast!B17+B10</f>
        <v>106215928424.1962</v>
      </c>
    </row>
    <row r="12" spans="1:2" x14ac:dyDescent="0.25">
      <c r="A12" t="s">
        <v>71</v>
      </c>
      <c r="B12" s="18">
        <f>-Assumptions!B30</f>
        <v>-5012000000</v>
      </c>
    </row>
    <row r="13" spans="1:2" x14ac:dyDescent="0.25">
      <c r="A13" t="s">
        <v>72</v>
      </c>
      <c r="B13" s="18">
        <f>B11+B12</f>
        <v>101203928424.1962</v>
      </c>
    </row>
    <row r="14" spans="1:2" x14ac:dyDescent="0.25">
      <c r="A14" s="19" t="s">
        <v>73</v>
      </c>
      <c r="B14" s="24">
        <f>B13/Assumptions!B31</f>
        <v>185.3551802640956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11478600465.144196</v>
      </c>
    </row>
    <row r="18" spans="1:2" x14ac:dyDescent="0.25">
      <c r="A18" t="s">
        <v>68</v>
      </c>
      <c r="B18" s="18">
        <f>B17*Assumptions!B13</f>
        <v>90019980881.57468</v>
      </c>
    </row>
    <row r="19" spans="1:2" x14ac:dyDescent="0.25">
      <c r="A19" t="s">
        <v>69</v>
      </c>
      <c r="B19" s="18">
        <f>B18/(1+Assumptions!B26)^(10-0.5*Assumptions!B32)</f>
        <v>47074479636.23572</v>
      </c>
    </row>
    <row r="20" spans="1:2" x14ac:dyDescent="0.25">
      <c r="A20" t="s">
        <v>70</v>
      </c>
      <c r="B20" s="18">
        <f>Forecast!B17+B19</f>
        <v>87238931916.44337</v>
      </c>
    </row>
    <row r="21" spans="1:2" x14ac:dyDescent="0.25">
      <c r="A21" t="s">
        <v>71</v>
      </c>
      <c r="B21" s="18">
        <f>-Assumptions!B30</f>
        <v>-5012000000</v>
      </c>
    </row>
    <row r="22" spans="1:2" x14ac:dyDescent="0.25">
      <c r="A22" t="s">
        <v>72</v>
      </c>
      <c r="B22" s="18">
        <f>B20+B21</f>
        <v>82226931916.44337</v>
      </c>
    </row>
    <row r="23" spans="1:2" x14ac:dyDescent="0.25">
      <c r="A23" s="19" t="s">
        <v>73</v>
      </c>
      <c r="B23" s="25">
        <f>B22/Assumptions!B31</f>
        <v>150.59877640374245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165.54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185.3551802640956</v>
      </c>
    </row>
    <row r="29" spans="1:2" x14ac:dyDescent="0.25">
      <c r="A29" s="19" t="s">
        <v>81</v>
      </c>
      <c r="B29" s="11">
        <f>B28/B26-1</f>
        <v>0.11970025531047246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0.050625</v>
      </c>
      <c r="B5" s="31">
        <v>266.39746879442015</v>
      </c>
      <c r="C5" s="31">
        <v>292.1850515861108</v>
      </c>
      <c r="D5" s="31">
        <v>328.3694849947895</v>
      </c>
      <c r="E5" s="31">
        <v>382.51211492372016</v>
      </c>
      <c r="F5" s="31">
        <v>471.8528100323448</v>
      </c>
    </row>
    <row r="6" spans="1:6" x14ac:dyDescent="0.25">
      <c r="A6" s="30">
        <v>0.060625</v>
      </c>
      <c r="B6" s="31">
        <v>207.54970905182046</v>
      </c>
      <c r="C6" s="31">
        <v>220.2834027495465</v>
      </c>
      <c r="D6" s="31">
        <v>236.8184250375355</v>
      </c>
      <c r="E6" s="31">
        <v>259.0166511436717</v>
      </c>
      <c r="F6" s="31">
        <v>290.1931272054071</v>
      </c>
    </row>
    <row r="7" spans="1:6" x14ac:dyDescent="0.25">
      <c r="A7" s="30">
        <v>0.070625</v>
      </c>
      <c r="B7" s="31">
        <v>169.8704476406793</v>
      </c>
      <c r="C7" s="31">
        <v>176.7716824505814</v>
      </c>
      <c r="D7" s="32">
        <v>185.35338087947034</v>
      </c>
      <c r="E7" s="31">
        <v>196.23602180204887</v>
      </c>
      <c r="F7" s="31">
        <v>210.3884231103969</v>
      </c>
    </row>
    <row r="8" spans="1:6" x14ac:dyDescent="0.25">
      <c r="A8" s="30">
        <v>0.080625</v>
      </c>
      <c r="B8" s="31">
        <v>143.68044035193492</v>
      </c>
      <c r="C8" s="31">
        <v>147.60054607877296</v>
      </c>
      <c r="D8" s="31">
        <v>152.35592760841783</v>
      </c>
      <c r="E8" s="31">
        <v>158.1940740676272</v>
      </c>
      <c r="F8" s="31">
        <v>165.4709629674907</v>
      </c>
    </row>
    <row r="9" spans="1:6" x14ac:dyDescent="0.25">
      <c r="A9" s="30">
        <v>0.090625</v>
      </c>
      <c r="B9" s="31">
        <v>124.42028633467021</v>
      </c>
      <c r="C9" s="31">
        <v>126.67793324105394</v>
      </c>
      <c r="D9" s="31">
        <v>129.38459527556063</v>
      </c>
      <c r="E9" s="31">
        <v>132.65136896473624</v>
      </c>
      <c r="F9" s="31">
        <v>136.62929565366002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22582000000</v>
      </c>
      <c r="C5" s="18">
        <v>23378000000</v>
      </c>
      <c r="D5" s="18">
        <v>23182000000</v>
      </c>
      <c r="E5" s="18">
        <v>29492000000</v>
      </c>
      <c r="F5" s="6" t="s">
        <v>91</v>
      </c>
    </row>
    <row r="6" spans="1:6" x14ac:dyDescent="0.25">
      <c r="A6" t="s">
        <v>51</v>
      </c>
      <c r="B6" s="18">
        <v>7250000000</v>
      </c>
      <c r="C6" s="18">
        <v>8253000000</v>
      </c>
      <c r="D6" s="18">
        <v>8892000000</v>
      </c>
      <c r="E6" s="18">
        <v>14256000000</v>
      </c>
      <c r="F6" s="6" t="s">
        <v>92</v>
      </c>
    </row>
    <row r="7" spans="1:6" x14ac:dyDescent="0.25">
      <c r="A7" t="s">
        <v>93</v>
      </c>
      <c r="B7" s="18">
        <v>4461000000</v>
      </c>
      <c r="C7" s="18">
        <v>4108000000</v>
      </c>
      <c r="D7" s="18">
        <v>3492000000</v>
      </c>
      <c r="E7" s="18">
        <v>3542000000</v>
      </c>
      <c r="F7" s="6" t="s">
        <v>94</v>
      </c>
    </row>
    <row r="8" spans="1:6" x14ac:dyDescent="0.25">
      <c r="A8" t="s">
        <v>95</v>
      </c>
      <c r="B8" s="18">
        <v>6594000000</v>
      </c>
      <c r="C8" s="18">
        <v>6372000000</v>
      </c>
      <c r="D8" s="18">
        <v>6185000000</v>
      </c>
      <c r="E8" s="18">
        <v>5000000000</v>
      </c>
      <c r="F8" s="6" t="s">
        <v>96</v>
      </c>
    </row>
    <row r="9" spans="1:6" x14ac:dyDescent="0.25">
      <c r="A9" t="s">
        <v>97</v>
      </c>
      <c r="B9" s="18">
        <v>840000000</v>
      </c>
      <c r="C9" s="18">
        <v>-550000000</v>
      </c>
      <c r="D9" s="18">
        <v>-191000000</v>
      </c>
      <c r="E9" s="18">
        <v>1159000000</v>
      </c>
      <c r="F9" s="6" t="s">
        <v>98</v>
      </c>
    </row>
    <row r="10" spans="1:6" x14ac:dyDescent="0.25">
      <c r="A10" t="s">
        <v>99</v>
      </c>
      <c r="B10" s="18">
        <v>8408000000</v>
      </c>
      <c r="C10" s="18">
        <v>5067000000</v>
      </c>
      <c r="D10" s="18">
        <v>4124000000</v>
      </c>
      <c r="E10" s="18">
        <v>5374000000</v>
      </c>
      <c r="F10" s="6" t="s">
        <v>100</v>
      </c>
    </row>
    <row r="11" spans="1:6" x14ac:dyDescent="0.25">
      <c r="A11" t="s">
        <v>101</v>
      </c>
      <c r="B11" s="18">
        <v>3396000000</v>
      </c>
      <c r="C11" s="18">
        <v>7092000000</v>
      </c>
      <c r="D11" s="18">
        <v>5278000000</v>
      </c>
      <c r="E11" s="18">
        <v>5972000000</v>
      </c>
      <c r="F11" s="6" t="s">
        <v>102</v>
      </c>
    </row>
    <row r="12" spans="1:6" x14ac:dyDescent="0.25">
      <c r="A12" t="s">
        <v>34</v>
      </c>
      <c r="B12" s="34">
        <v>546000000</v>
      </c>
      <c r="C12" s="34">
        <v>569000000</v>
      </c>
      <c r="D12" s="34">
        <v>584000000</v>
      </c>
      <c r="E12" s="34">
        <v>587000000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