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<sst xmlns="http://schemas.openxmlformats.org/spreadsheetml/2006/main" count="115" uniqueCount="103">
  <si>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Electro Optic Systems Holdings Limited (EOS.AX)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</si>
  <si>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</si>
  <si>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</si>
  <si>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</si>
  <si>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</si>
  <si>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</si>
  <si>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</si>
  <si>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</si>
  <si>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</si>
  <si>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</si>
  <si>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</si>
  <si>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</si>
  <si>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</si>
  <si>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</si>
  <si>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</si>
  <si>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</si>
  <si>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</si>
  <si>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</si>
  <si>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</si>
  <si>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</si>
  <si>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</si>
  <si>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</si>
  <si>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42.7%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</si>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</sst>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-0.023393299156308056</v>
      </c>
    </row>
    <row r="7" spans="1:2" x14ac:dyDescent="0.25">
      <c r="A7" t="s">
        <v>5</v>
      </c>
      <c r="B7" s="6">
        <v>-0.2626671606378983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0.08957356189576464</v>
      </c>
    </row>
    <row r="10" spans="1:2" x14ac:dyDescent="0.25">
      <c r="A10" t="s">
        <v>8</v>
      </c>
      <c r="B10" s="6">
        <v>0.10580704889918002</v>
      </c>
    </row>
    <row r="11" spans="1:2" x14ac:dyDescent="0.25">
      <c r="A11" t="s">
        <v>9</v>
      </c>
      <c r="B11" s="6">
        <v>-0.07892698639062712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0.16173937876372518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1.81807</v>
      </c>
      <c r="C19" s="8" t="s">
        <v>19</v>
      </c>
    </row>
    <row r="20" spans="1:2" x14ac:dyDescent="0.25">
      <c r="A20" t="s">
        <v>20</v>
      </c>
      <c r="B20" s="10">
        <f>B17+B19*B18</f>
        <v>0.1625642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2292400384</v>
      </c>
    </row>
    <row r="23" spans="1:2" x14ac:dyDescent="0.25">
      <c r="A23" t="s">
        <v>24</v>
      </c>
      <c r="B23" s="11">
        <v>17142000</v>
      </c>
    </row>
    <row r="24" spans="1:2" x14ac:dyDescent="0.25">
      <c r="A24" t="s">
        <v>25</v>
      </c>
      <c r="B24" s="10">
        <f>B22/(B22+B23)</f>
        <v>0.9925777504155127</v>
      </c>
    </row>
    <row r="25" spans="1:2" x14ac:dyDescent="0.25">
      <c r="A25" t="s">
        <v>26</v>
      </c>
      <c r="B25" s="10">
        <f>1-B24</f>
        <v>0.007422249584487339</v>
      </c>
    </row>
    <row r="26" spans="1:2" x14ac:dyDescent="0.25">
      <c r="A26" t="s">
        <v>27</v>
      </c>
      <c r="B26" s="12">
        <f>B24*B20+B25*B21*(1-B8)</f>
        <v>0.16173937876372518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128458000</v>
      </c>
      <c r="C29" s="8" t="s">
        <v>30</v>
      </c>
    </row>
    <row r="30" spans="1:2" x14ac:dyDescent="0.25">
      <c r="A30" t="s">
        <v>31</v>
      </c>
      <c r="B30" s="11">
        <v>-96699000</v>
      </c>
    </row>
    <row r="31" spans="1:2" x14ac:dyDescent="0.25">
      <c r="A31" t="s">
        <v>32</v>
      </c>
      <c r="B31" s="13">
        <v>182066881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-0.023393299156308056</v>
      </c>
      <c r="C5" s="10">
        <f>Assumptions!B6</f>
        <v>-0.023393299156308056</v>
      </c>
      <c r="D5" s="10">
        <f>Assumptions!B6</f>
        <v>-0.023393299156308056</v>
      </c>
      <c r="E5" s="10">
        <f>Assumptions!B6</f>
        <v>-0.023393299156308056</v>
      </c>
      <c r="F5" s="10">
        <f>Assumptions!B6</f>
        <v>-0.023393299156308056</v>
      </c>
    </row>
    <row r="6" spans="1:6" x14ac:dyDescent="0.25">
      <c r="A6" t="s">
        <v>43</v>
      </c>
      <c r="B6" s="18">
        <f>Assumptions!B29*(1+B5)</f>
        <v>125452943.57697898</v>
      </c>
      <c r="C6" s="18">
        <f>B6*(1+C5)</f>
        <v>122518185.33784328</v>
      </c>
      <c r="D6" s="18">
        <f>C6*(1+D5)</f>
        <v>119652080.77614713</v>
      </c>
      <c r="E6" s="18">
        <f>D6*(1+E5)</f>
        <v>116853023.85587598</v>
      </c>
      <c r="F6" s="18">
        <f>E6*(1+F5)</f>
        <v>114119446.11149627</v>
      </c>
    </row>
    <row r="7" spans="1:6" x14ac:dyDescent="0.25">
      <c r="A7" t="s">
        <v>5</v>
      </c>
      <c r="B7" s="10">
        <f>Assumptions!B7</f>
        <v>-0.2626671606378983</v>
      </c>
      <c r="C7" s="10">
        <f>Assumptions!B7</f>
        <v>-0.2626671606378983</v>
      </c>
      <c r="D7" s="10">
        <f>Assumptions!B7</f>
        <v>-0.2626671606378983</v>
      </c>
      <c r="E7" s="10">
        <f>Assumptions!B7</f>
        <v>-0.2626671606378983</v>
      </c>
      <c r="F7" s="10">
        <f>Assumptions!B7</f>
        <v>-0.2626671606378983</v>
      </c>
    </row>
    <row r="8" spans="1:6" x14ac:dyDescent="0.25">
      <c r="A8" t="s">
        <v>44</v>
      </c>
      <c r="B8" s="18">
        <f>B6*B7</f>
        <v>-32952368.48303153</v>
      </c>
      <c r="C8" s="18">
        <f>C6*C7</f>
        <v>-32181503.86919908</v>
      </c>
      <c r="D8" s="18">
        <f>D6*D7</f>
        <v>-31428672.32188702</v>
      </c>
      <c r="E8" s="18">
        <f>E6*E7</f>
        <v>-30693451.988175537</v>
      </c>
      <c r="F8" s="18">
        <f>F6*F7</f>
        <v>-29975430.88367637</v>
      </c>
    </row>
    <row r="9" spans="1:6" x14ac:dyDescent="0.25">
      <c r="A9" t="s">
        <v>45</v>
      </c>
      <c r="B9" s="18">
        <f>B8*(1-Assumptions!B8)</f>
        <v>-23066657.93812207</v>
      </c>
      <c r="C9" s="18">
        <f>C8*(1-Assumptions!B8)</f>
        <v>-22527052.708439354</v>
      </c>
      <c r="D9" s="18">
        <f>D8*(1-Assumptions!B8)</f>
        <v>-22000070.62532091</v>
      </c>
      <c r="E9" s="18">
        <f>E8*(1-Assumptions!B8)</f>
        <v>-21485416.391722877</v>
      </c>
      <c r="F9" s="18">
        <f>F8*(1-Assumptions!B8)</f>
        <v>-20982801.618573457</v>
      </c>
    </row>
    <row r="10" spans="1:6" x14ac:dyDescent="0.25">
      <c r="A10" t="s">
        <v>46</v>
      </c>
      <c r="B10" s="18">
        <f>B6*Assumptions!B9</f>
        <v>11237267.006498396</v>
      </c>
      <c r="C10" s="18">
        <f>C6*Assumptions!B9</f>
        <v>10974390.257716069</v>
      </c>
      <c r="D10" s="18">
        <f>D6*Assumptions!B9</f>
        <v>10717663.063359246</v>
      </c>
      <c r="E10" s="18">
        <f>E6*Assumptions!B9</f>
        <v>10466941.56506157</v>
      </c>
      <c r="F10" s="18">
        <f>F6*Assumptions!B9</f>
        <v>10222085.269778488</v>
      </c>
    </row>
    <row r="11" spans="1:6" x14ac:dyDescent="0.25">
      <c r="A11" t="s">
        <v>47</v>
      </c>
      <c r="B11" s="18">
        <f>-B6*Assumptions!B10</f>
        <v>-13273805.735595487</v>
      </c>
      <c r="C11" s="18">
        <f>-C6*Assumptions!B10</f>
        <v>-12963287.627079986</v>
      </c>
      <c r="D11" s="18">
        <f>-D6*Assumptions!B10</f>
        <v>-12660033.561570438</v>
      </c>
      <c r="E11" s="18">
        <f>-E6*Assumptions!B10</f>
        <v>-12363873.60913572</v>
      </c>
      <c r="F11" s="18">
        <f>-F6*Assumptions!B10</f>
        <v>-12074641.815066425</v>
      </c>
    </row>
    <row r="12" spans="1:6" x14ac:dyDescent="0.25">
      <c r="A12" t="s">
        <v>48</v>
      </c>
      <c r="B12" s="18">
        <f>-(B6-Assumptions!B29)*Assumptions!B11</f>
        <v>-237180.04740284654</v>
      </c>
      <c r="C12" s="18">
        <f>-(C6-B6)*Assumptions!B11</f>
        <v>-231631.623600044</v>
      </c>
      <c r="D12" s="18">
        <f>-(D6-C6)*Assumptions!B11</f>
        <v>-226212.99573510687</v>
      </c>
      <c r="E12" s="18">
        <f>-(E6-D6)*Assumptions!B11</f>
        <v>-220921.1274528312</v>
      </c>
      <c r="F12" s="18">
        <f>-(F6-E6)*Assumptions!B11</f>
        <v>-215753.0534283789</v>
      </c>
    </row>
    <row r="13" spans="1:6" x14ac:dyDescent="0.25">
      <c r="A13" s="19" t="s">
        <v>49</v>
      </c>
      <c r="B13" s="20">
        <f>B9+B10+B11+B12</f>
        <v>-25340376.71462201</v>
      </c>
      <c r="C13" s="20">
        <f>C9+C10+C11+C12</f>
        <v>-24747581.701403312</v>
      </c>
      <c r="D13" s="20">
        <f>D9+D10+D11+D12</f>
        <v>-24168654.119267207</v>
      </c>
      <c r="E13" s="20">
        <f>E9+E10+E11+E12</f>
        <v>-23603269.56324986</v>
      </c>
      <c r="F13" s="20">
        <f>F9+F10+F11+F12</f>
        <v>-23051111.217289772</v>
      </c>
    </row>
    <row r="14" spans="1:6" x14ac:dyDescent="0.25">
      <c r="A14" t="s">
        <v>50</v>
      </c>
      <c r="B14" s="21">
        <f>1/(1+Assumptions!$B$26)^(1-0.5*Assumptions!$B$32)</f>
        <v>0.9277813638552362</v>
      </c>
      <c r="C14" s="21">
        <f>1/(1+Assumptions!$B$26)^(2-0.5*Assumptions!$B$32)</f>
        <v>0.7986140272205826</v>
      </c>
      <c r="D14" s="21">
        <f>1/(1+Assumptions!$B$26)^(3-0.5*Assumptions!$B$32)</f>
        <v>0.6874295920574153</v>
      </c>
      <c r="E14" s="21">
        <f>1/(1+Assumptions!$B$26)^(4-0.5*Assumptions!$B$32)</f>
        <v>0.591724447516748</v>
      </c>
      <c r="F14" s="21">
        <f>1/(1+Assumptions!$B$26)^(5-0.5*Assumptions!$B$32)</f>
        <v>0.5093435398104836</v>
      </c>
    </row>
    <row r="15" spans="1:6" x14ac:dyDescent="0.25">
      <c r="A15" s="19" t="s">
        <v>51</v>
      </c>
      <c r="B15" s="20">
        <f>B13*B14</f>
        <v>-23510329.268897478</v>
      </c>
      <c r="C15" s="20">
        <f>C13*C14</f>
        <v>-19763765.886528097</v>
      </c>
      <c r="D15" s="20">
        <f>D13*D14</f>
        <v>-16614248.041784626</v>
      </c>
      <c r="E15" s="20">
        <f>E13*E14</f>
        <v>-13966631.641902898</v>
      </c>
      <c r="F15" s="20">
        <f>F13*F14</f>
        <v>-11740934.58397952</v>
      </c>
    </row>
    <row r="17" spans="1:2" x14ac:dyDescent="0.25">
      <c r="A17" s="22" t="s">
        <v>52</v>
      </c>
      <c r="B17" s="23">
        <f>SUM(B15:F15)</f>
        <v>-85595909.42309262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-23051111.217289772</v>
      </c>
    </row>
    <row r="5" spans="1:2" x14ac:dyDescent="0.25">
      <c r="A5" t="s">
        <v>56</v>
      </c>
      <c r="B5" s="18">
        <f>IF(Assumptions!$B$33=0,B4,B4-Forecast!F11-Forecast!F10-Forecast!F12)</f>
        <v>-20982801.618573457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0.1545696551519523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-85595909.42309262</v>
      </c>
    </row>
    <row r="12" spans="1:2" x14ac:dyDescent="0.25">
      <c r="A12" t="s">
        <v>63</v>
      </c>
      <c r="B12" s="18">
        <f>-Assumptions!B30</f>
        <v>96699000</v>
      </c>
    </row>
    <row r="13" spans="1:2" x14ac:dyDescent="0.25">
      <c r="A13" t="s">
        <v>64</v>
      </c>
      <c r="B13" s="18">
        <f>B11+B12</f>
        <v>11103090.576907381</v>
      </c>
    </row>
    <row r="14" spans="1:2" x14ac:dyDescent="0.25">
      <c r="A14" s="19" t="s">
        <v>65</v>
      </c>
      <c r="B14" s="24">
        <f>B13/Assumptions!B31</f>
        <v>0.06098358205470319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-19753345.613897882</v>
      </c>
    </row>
    <row r="18" spans="1:2" x14ac:dyDescent="0.25">
      <c r="A18" t="s">
        <v>60</v>
      </c>
      <c r="B18" s="18">
        <f>B17*Assumptions!B13</f>
        <v>-158026764.91118306</v>
      </c>
    </row>
    <row r="19" spans="1:2" x14ac:dyDescent="0.25">
      <c r="A19" t="s">
        <v>61</v>
      </c>
      <c r="B19" s="18">
        <f>B18/(1+Assumptions!B26)^(5-0.5*Assumptions!B32)</f>
        <v>-80489911.8246611</v>
      </c>
    </row>
    <row r="20" spans="1:2" x14ac:dyDescent="0.25">
      <c r="A20" t="s">
        <v>62</v>
      </c>
      <c r="B20" s="18">
        <f>Forecast!B17+B19</f>
        <v>-166085821.24775374</v>
      </c>
    </row>
    <row r="21" spans="1:2" x14ac:dyDescent="0.25">
      <c r="A21" t="s">
        <v>63</v>
      </c>
      <c r="B21" s="18">
        <f>-Assumptions!B30</f>
        <v>96699000</v>
      </c>
    </row>
    <row r="22" spans="1:2" x14ac:dyDescent="0.25">
      <c r="A22" t="s">
        <v>64</v>
      </c>
      <c r="B22" s="18">
        <f>B20+B21</f>
        <v>-69386821.24775374</v>
      </c>
    </row>
    <row r="23" spans="1:2" x14ac:dyDescent="0.25">
      <c r="A23" s="19" t="s">
        <v>65</v>
      </c>
      <c r="B23" s="25">
        <f>B22/Assumptions!B31</f>
        <v>-0.38110622243127096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0.06098358205470319</v>
      </c>
    </row>
    <row r="29" spans="1:2" x14ac:dyDescent="0.25">
      <c r="A29" s="19" t="s">
        <v>73</v>
      </c>
      <c r="B29" s="12">
        <f>B28/B26-1</f>
        <v>-0.9941021680798159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0.141739</v>
      </c>
      <c r="B5" s="31">
        <v>0.04289499034819984</v>
      </c>
      <c r="C5" s="31">
        <v>0.04289499034819984</v>
      </c>
      <c r="D5" s="31">
        <v>0.04289499034819984</v>
      </c>
      <c r="E5" s="31">
        <v>0.04289499034819984</v>
      </c>
      <c r="F5" s="31">
        <v>0.04289499034819984</v>
      </c>
    </row>
    <row r="6" spans="1:6" x14ac:dyDescent="0.25">
      <c r="A6" s="30">
        <v>0.151739</v>
      </c>
      <c r="B6" s="31">
        <v>0.0520986086361935</v>
      </c>
      <c r="C6" s="31">
        <v>0.0520986086361935</v>
      </c>
      <c r="D6" s="31">
        <v>0.0520986086361935</v>
      </c>
      <c r="E6" s="31">
        <v>0.0520986086361935</v>
      </c>
      <c r="F6" s="31">
        <v>0.0520986086361935</v>
      </c>
    </row>
    <row r="7" spans="1:6" x14ac:dyDescent="0.25">
      <c r="A7" s="30">
        <v>0.161739</v>
      </c>
      <c r="B7" s="31">
        <v>0.06098325139035705</v>
      </c>
      <c r="C7" s="31">
        <v>0.06098325139035705</v>
      </c>
      <c r="D7" s="32">
        <v>0.06098325139035705</v>
      </c>
      <c r="E7" s="31">
        <v>0.06098325139035705</v>
      </c>
      <c r="F7" s="31">
        <v>0.06098325139035705</v>
      </c>
    </row>
    <row r="8" spans="1:6" x14ac:dyDescent="0.25">
      <c r="A8" s="30">
        <v>0.171739</v>
      </c>
      <c r="B8" s="31">
        <v>0.06956354841557243</v>
      </c>
      <c r="C8" s="31">
        <v>0.06956354841557243</v>
      </c>
      <c r="D8" s="31">
        <v>0.06956354841557243</v>
      </c>
      <c r="E8" s="31">
        <v>0.06956354841557243</v>
      </c>
      <c r="F8" s="31">
        <v>0.06956354841557243</v>
      </c>
    </row>
    <row r="9" spans="1:6" x14ac:dyDescent="0.25">
      <c r="A9" s="30">
        <v>0.181739</v>
      </c>
      <c r="B9" s="31">
        <v>0.07785331619316704</v>
      </c>
      <c r="C9" s="31">
        <v>0.07785331619316704</v>
      </c>
      <c r="D9" s="31">
        <v>0.07785331619316704</v>
      </c>
      <c r="E9" s="31">
        <v>0.07785331619316704</v>
      </c>
      <c r="F9" s="31">
        <v>0.07785331619316704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128458000</v>
      </c>
      <c r="C5" s="18">
        <v>176565000</v>
      </c>
      <c r="D5" s="18">
        <v>219253000</v>
      </c>
      <c r="E5" s="18">
        <v>137912000</v>
      </c>
      <c r="F5" s="8" t="s">
        <v>84</v>
      </c>
    </row>
    <row r="6" spans="1:6" x14ac:dyDescent="0.25">
      <c r="A6" t="s">
        <v>44</v>
      </c>
      <c r="B6" s="18">
        <v>-58225000</v>
      </c>
      <c r="C6" s="18">
        <v>-27528000</v>
      </c>
      <c r="D6" s="18">
        <v>-8019000</v>
      </c>
      <c r="E6" s="18">
        <v>-55844000</v>
      </c>
      <c r="F6" s="8" t="s">
        <v>85</v>
      </c>
    </row>
    <row r="7" spans="1:6" x14ac:dyDescent="0.25">
      <c r="A7" t="s">
        <v>86</v>
      </c>
      <c r="B7" s="18">
        <v>19345000</v>
      </c>
      <c r="C7" s="18">
        <v>12542000</v>
      </c>
      <c r="D7" s="18">
        <v>12383000</v>
      </c>
      <c r="E7" s="18">
        <v>11059000</v>
      </c>
      <c r="F7" s="8" t="s">
        <v>87</v>
      </c>
    </row>
    <row r="8" spans="1:6" x14ac:dyDescent="0.25">
      <c r="A8" t="s">
        <v>88</v>
      </c>
      <c r="B8" s="18">
        <v>26308000</v>
      </c>
      <c r="C8" s="18">
        <v>11556000</v>
      </c>
      <c r="D8" s="18">
        <v>2933000</v>
      </c>
      <c r="E8" s="18">
        <v>19253000</v>
      </c>
      <c r="F8" s="8" t="s">
        <v>89</v>
      </c>
    </row>
    <row r="9" spans="1:6" x14ac:dyDescent="0.25">
      <c r="A9" t="s">
        <v>90</v>
      </c>
      <c r="B9" s="18">
        <v>2962000</v>
      </c>
      <c r="C9" s="18">
        <v>10383000</v>
      </c>
      <c r="D9" s="18">
        <v>-6420000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17142000</v>
      </c>
      <c r="C10" s="18">
        <v>65930000</v>
      </c>
      <c r="D10" s="18">
        <v>88741000</v>
      </c>
      <c r="E10" s="18">
        <v>97184000</v>
      </c>
      <c r="F10" s="8" t="s">
        <v>93</v>
      </c>
    </row>
    <row r="11" spans="1:6" x14ac:dyDescent="0.25">
      <c r="A11" t="s">
        <v>94</v>
      </c>
      <c r="B11" s="18">
        <v>113841000</v>
      </c>
      <c r="C11" s="18">
        <v>41078000</v>
      </c>
      <c r="D11" s="18">
        <v>70997000</v>
      </c>
      <c r="E11" s="18">
        <v>21681000</v>
      </c>
      <c r="F11" s="8" t="s">
        <v>95</v>
      </c>
    </row>
    <row r="12" spans="1:6" x14ac:dyDescent="0.25">
      <c r="A12" t="s">
        <v>32</v>
      </c>
      <c r="B12" s="34">
        <v>182066881</v>
      </c>
      <c r="C12" s="34">
        <v>175407278</v>
      </c>
      <c r="D12" s="34">
        <v>159226631</v>
      </c>
      <c r="E12" s="34">
        <v>146853905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