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<sst xmlns="http://schemas.openxmlformats.org/spreadsheetml/2006/main" count="122" uniqueCount="109">
  <si>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Equinix, Inc. (EQIX)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</si>
  <si>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</si>
  <si>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</si>
  <si>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</si>
  <si>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</si>
  <si>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</si>
  <si>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</si>
  <si>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</si>
  <si>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</si>
  <si>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</si>
  <si>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</si>
  <si>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</si>
  <si>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</si>
  <si>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</si>
  <si>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</si>
  <si>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</si>
  <si>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</si>
  <si>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</si>
  <si>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</si>
  <si>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</si>
  <si>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</si>
  <si>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</si>
  <si>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</si>
  <si>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</si>
  <si>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3.7x interest cover. Book interest / average debt was lower, at 2.5%.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</si>
  <si>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</si>
  <si>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</si>
  <si>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</si>
  <si>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</si>
  <si>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</si>
  <si>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</si>
  <si>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</si>
  <si>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</si>
  <si>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</si>
  <si>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</si>
  <si>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</si>
  <si>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</si>
  <si>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</si>
  <si>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</si>
  <si>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</si>
  <si>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</si>
  <si>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</si>
  <si>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</si>
  <si>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</si>
  <si>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</si>
  <si>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</si>
  <si>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</si>
  <si>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</si>
  <si>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</si>
  <si>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</si>
  <si>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</si>
  <si>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</si>
  <si>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</si>
  <si>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</si>
  <si>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</si>
  <si>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</si>
  <si>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</si>
  <si>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</si>
  <si>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</si>
  <si>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</si>
  <si>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</si>
  <si>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</si>
  <si>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</si>
  <si>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</si>
  <si>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</si>
  <si>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</si>
  <si>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</si>
  <si>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</si>
  <si>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</si>
  <si>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</si>
  <si>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</si>
  <si>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</si>
  <si>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</si>
  <si>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</si>
  <si>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</si>
  <si>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</si>
  <si>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</si>
  <si>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</si>
  <si>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</si>
  <si>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</si>
  <si>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</si>
  <si>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</si>
  <si>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</si>
  <si>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</si>
  <si>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</si>
  <si>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</si>
  <si>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</si>
  <si>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</si>
  <si>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</si>
  <si>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</si>
  <si>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</si>
  <si>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</si>
  <si>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</si>
  <si>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</si>
  <si>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</si>
  <si>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</si>
  <si>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</si>
  <si>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</si>
  <si>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</si>
  <si>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</si>
  <si>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</si>
  <si>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</si>
  <si>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</si>
  <si>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</si>
  <si>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</si>
  <si>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4.8%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</si>
  <si>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Capital expenditure runs at 36.8% of revenue against depreciation of 23.0%.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</si>
  <si>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29.7x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</si>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</sst>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0.12251757730280999</v>
      </c>
    </row>
    <row r="7" spans="1:2" x14ac:dyDescent="0.25">
      <c r="A7" t="s">
        <v>4</v>
      </c>
      <c r="B7" s="5">
        <v>0.18623881592437863</v>
      </c>
    </row>
    <row r="8" spans="1:2" x14ac:dyDescent="0.25">
      <c r="A8" t="s">
        <v>5</v>
      </c>
      <c r="B8" s="5">
        <v>0.14373908022786103</v>
      </c>
    </row>
    <row r="9" spans="1:2" x14ac:dyDescent="0.25">
      <c r="A9" t="s">
        <v>6</v>
      </c>
      <c r="B9" s="5">
        <v>0.22959928371449398</v>
      </c>
    </row>
    <row r="10" spans="1:3" x14ac:dyDescent="0.25">
      <c r="A10" t="s">
        <v>7</v>
      </c>
      <c r="B10" s="5">
        <v>0.3678726690387112</v>
      </c>
      <c r="C10" s="6" t="s">
        <v>8</v>
      </c>
    </row>
    <row r="11" spans="1:2" x14ac:dyDescent="0.25">
      <c r="A11" t="s">
        <v>9</v>
      </c>
      <c r="B11" s="5">
        <v>0.09831608008392684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0.08284395420526679</v>
      </c>
      <c r="C14" s="6" t="s">
        <v>13</v>
      </c>
    </row>
    <row r="15" spans="1:3" x14ac:dyDescent="0.25">
      <c r="A15" t="s">
        <v>14</v>
      </c>
      <c r="B15" s="5">
        <v>0.22254297089609937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0.9799</v>
      </c>
      <c r="C19" s="6" t="s">
        <v>21</v>
      </c>
    </row>
    <row r="20" spans="1:2" x14ac:dyDescent="0.25">
      <c r="A20" t="s">
        <v>22</v>
      </c>
      <c r="B20" s="9">
        <f>B17+B19*B18</f>
        <v>0.09038977000000001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100344463360</v>
      </c>
    </row>
    <row r="23" spans="1:2" x14ac:dyDescent="0.25">
      <c r="A23" t="s">
        <v>26</v>
      </c>
      <c r="B23" s="10">
        <v>22726000000</v>
      </c>
    </row>
    <row r="24" spans="1:2" x14ac:dyDescent="0.25">
      <c r="A24" t="s">
        <v>27</v>
      </c>
      <c r="B24" s="9">
        <f>B22/(B22+B23)</f>
        <v>0.8153415581647486</v>
      </c>
    </row>
    <row r="25" spans="1:2" x14ac:dyDescent="0.25">
      <c r="A25" t="s">
        <v>28</v>
      </c>
      <c r="B25" s="9">
        <f>1-B24</f>
        <v>0.18465844183525137</v>
      </c>
    </row>
    <row r="26" spans="1:2" x14ac:dyDescent="0.25">
      <c r="A26" t="s">
        <v>29</v>
      </c>
      <c r="B26" s="11">
        <f>B24*B20+B25*B21*(1-B8)</f>
        <v>0.08284395420526679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9217000000</v>
      </c>
      <c r="C29" s="6" t="s">
        <v>32</v>
      </c>
    </row>
    <row r="30" spans="1:2" x14ac:dyDescent="0.25">
      <c r="A30" t="s">
        <v>33</v>
      </c>
      <c r="B30" s="10">
        <v>19499000000</v>
      </c>
    </row>
    <row r="31" spans="1:2" x14ac:dyDescent="0.25">
      <c r="A31" t="s">
        <v>34</v>
      </c>
      <c r="B31" s="12">
        <v>98123000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0.12251757730280999</v>
      </c>
      <c r="C5" s="5">
        <v>0.11381226964642854</v>
      </c>
      <c r="D5" s="5">
        <v>0.10271073594062498</v>
      </c>
      <c r="E5" s="5">
        <v>0.09160920223482141</v>
      </c>
      <c r="F5" s="5">
        <v>0.08050766852901783</v>
      </c>
      <c r="G5" s="5">
        <v>0.06940613482321427</v>
      </c>
      <c r="H5" s="5">
        <v>0.058304601117410704</v>
      </c>
      <c r="I5" s="5">
        <v>0.047203067411607125</v>
      </c>
      <c r="J5" s="5">
        <v>0.03610153370580356</v>
      </c>
      <c r="K5" s="5">
        <v>0.024999999999999994</v>
      </c>
    </row>
    <row r="6" spans="1:11" x14ac:dyDescent="0.25">
      <c r="A6" t="s">
        <v>50</v>
      </c>
      <c r="B6" s="18">
        <f>Assumptions!B29*(1+B5)</f>
        <v>10346244510</v>
      </c>
      <c r="C6" s="18">
        <f>B6*(1+C5)</f>
        <v>11523774080.000002</v>
      </c>
      <c r="D6" s="18">
        <f>C6*(1+D5)</f>
        <v>12707389396.570301</v>
      </c>
      <c r="E6" s="18">
        <f>D6*(1+E5)</f>
        <v>13871503201.677334</v>
      </c>
      <c r="F6" s="18">
        <f>E6*(1+F5)</f>
        <v>14988265583.437181</v>
      </c>
      <c r="G6" s="18">
        <f>F6*(1+G5)</f>
        <v>16028543165.287365</v>
      </c>
      <c r="H6" s="18">
        <f>G6*(1+H5)</f>
        <v>16963080981.032644</v>
      </c>
      <c r="I6" s="18">
        <f>H6*(1+I5)</f>
        <v>17763790436.08888</v>
      </c>
      <c r="J6" s="18">
        <f>I6*(1+J5)</f>
        <v>18405090515.26017</v>
      </c>
      <c r="K6" s="18">
        <f>J6*(1+K5)</f>
        <v>18865217778.141674</v>
      </c>
    </row>
    <row r="7" spans="1:11" x14ac:dyDescent="0.25">
      <c r="A7" t="s">
        <v>4</v>
      </c>
      <c r="B7" s="9">
        <f>Assumptions!B7</f>
        <v>0.18623881592437863</v>
      </c>
      <c r="C7" s="9">
        <f>Assumptions!B7</f>
        <v>0.18623881592437863</v>
      </c>
      <c r="D7" s="9">
        <f>Assumptions!B7</f>
        <v>0.18623881592437863</v>
      </c>
      <c r="E7" s="9">
        <f>Assumptions!B7</f>
        <v>0.18623881592437863</v>
      </c>
      <c r="F7" s="9">
        <f>Assumptions!B7</f>
        <v>0.18623881592437863</v>
      </c>
      <c r="G7" s="9">
        <f>Assumptions!B7</f>
        <v>0.18623881592437863</v>
      </c>
      <c r="H7" s="9">
        <f>Assumptions!B7</f>
        <v>0.18623881592437863</v>
      </c>
      <c r="I7" s="9">
        <f>Assumptions!B7</f>
        <v>0.18623881592437863</v>
      </c>
      <c r="J7" s="9">
        <f>Assumptions!B7</f>
        <v>0.18623881592437863</v>
      </c>
      <c r="K7" s="9">
        <f>Assumptions!B7</f>
        <v>0.18623881592437863</v>
      </c>
    </row>
    <row r="8" spans="1:11" x14ac:dyDescent="0.25">
      <c r="A8" t="s">
        <v>51</v>
      </c>
      <c r="B8" s="18">
        <f>B6*B7</f>
        <v>1926872326.806503</v>
      </c>
      <c r="C8" s="18">
        <f>C6*C7</f>
        <v>2146174039.639246</v>
      </c>
      <c r="D8" s="18">
        <f>D6*D7</f>
        <v>2366609154.7072573</v>
      </c>
      <c r="E8" s="18">
        <f>E6*E7</f>
        <v>2583412331.371614</v>
      </c>
      <c r="F8" s="18">
        <f>F6*F7</f>
        <v>2791396835.019457</v>
      </c>
      <c r="G8" s="18">
        <f>G6*G7</f>
        <v>2985136900.0959105</v>
      </c>
      <c r="H8" s="18">
        <f>H6*H7</f>
        <v>3159184116.336867</v>
      </c>
      <c r="I8" s="18">
        <f>I6*I7</f>
        <v>3308307297.145994</v>
      </c>
      <c r="J8" s="18">
        <f>J6*J7</f>
        <v>3427742264.543066</v>
      </c>
      <c r="K8" s="18">
        <f>K6*K7</f>
        <v>3513435821.1566424</v>
      </c>
    </row>
    <row r="9" spans="1:11" x14ac:dyDescent="0.25">
      <c r="A9" t="s">
        <v>52</v>
      </c>
      <c r="B9" s="18">
        <f>B8*(1-Assumptions!B8)</f>
        <v>1649905470.8348176</v>
      </c>
      <c r="C9" s="18">
        <f>C8*(1-Assumptions!B8)</f>
        <v>1837684957.1725876</v>
      </c>
      <c r="D9" s="18">
        <f>D8*(1-Assumptions!B8)</f>
        <v>2026434931.5508003</v>
      </c>
      <c r="E9" s="18">
        <f>E8*(1-Assumptions!B8)</f>
        <v>2212075019.010944</v>
      </c>
      <c r="F9" s="18">
        <f>F8*(1-Assumptions!B8)</f>
        <v>2390164021.4027977</v>
      </c>
      <c r="G9" s="18">
        <f>G8*(1-Assumptions!B8)</f>
        <v>2556056067.721876</v>
      </c>
      <c r="H9" s="18">
        <f>H8*(1-Assumptions!B8)</f>
        <v>2705085897.1841373</v>
      </c>
      <c r="I9" s="18">
        <f>I8*(1-Assumptions!B8)</f>
        <v>2832774249.143108</v>
      </c>
      <c r="J9" s="18">
        <f>J8*(1-Assumptions!B8)</f>
        <v>2935041744.17948</v>
      </c>
      <c r="K9" s="18">
        <f>K8*(1-Assumptions!B8)</f>
        <v>3008417787.783967</v>
      </c>
    </row>
    <row r="10" spans="1:11" x14ac:dyDescent="0.25">
      <c r="A10" t="s">
        <v>53</v>
      </c>
      <c r="B10" s="18">
        <f>B6*Assumptions!B9</f>
        <v>2375490328.631016</v>
      </c>
      <c r="C10" s="18">
        <f>C6*Assumptions!B9</f>
        <v>2645850274.455652</v>
      </c>
      <c r="D10" s="18">
        <f>D6*Assumptions!B9</f>
        <v>2917607503.333697</v>
      </c>
      <c r="E10" s="18">
        <f>E6*Assumptions!B9</f>
        <v>3184887199.1484256</v>
      </c>
      <c r="F10" s="18">
        <f>F6*Assumptions!B9</f>
        <v>3441295042.079779</v>
      </c>
      <c r="G10" s="18">
        <f>G6*Assumptions!B9</f>
        <v>3680142029.736827</v>
      </c>
      <c r="H10" s="18">
        <f>H6*Assumptions!B9</f>
        <v>3894711242.836051</v>
      </c>
      <c r="I10" s="18">
        <f>I6*Assumptions!B9</f>
        <v>4078553560.180385</v>
      </c>
      <c r="J10" s="18">
        <f>J6*Assumptions!B9</f>
        <v>4225795599.004162</v>
      </c>
      <c r="K10" s="18">
        <f>K6*Assumptions!B9</f>
        <v>4331440488.979266</v>
      </c>
    </row>
    <row r="11" spans="1:11" x14ac:dyDescent="0.25">
      <c r="A11" t="s">
        <v>54</v>
      </c>
      <c r="B11" s="18">
        <f>-B6*B19</f>
        <v>-3806100582.4208126</v>
      </c>
      <c r="C11" s="18">
        <f>-C6*C19</f>
        <v>-4117151207.3158336</v>
      </c>
      <c r="D11" s="18">
        <f>-D6*D19</f>
        <v>-4405352421.765617</v>
      </c>
      <c r="E11" s="18">
        <f>-E6*E19</f>
        <v>-4661911410.840171</v>
      </c>
      <c r="F11" s="18">
        <f>-F6*F19</f>
        <v>-4878383617.7409525</v>
      </c>
      <c r="G11" s="18">
        <f>-G6*G19</f>
        <v>-5047100972.287437</v>
      </c>
      <c r="H11" s="18">
        <f>-H6*H19</f>
        <v>-5161593442.408687</v>
      </c>
      <c r="I11" s="18">
        <f>-I6*I19</f>
        <v>-5216973733.230958</v>
      </c>
      <c r="J11" s="18">
        <f>-J6*J19</f>
        <v>-5210255159.811438</v>
      </c>
      <c r="K11" s="18">
        <f>-K6*K19</f>
        <v>-5140575729.152373</v>
      </c>
    </row>
    <row r="12" spans="1:11" x14ac:dyDescent="0.25">
      <c r="A12" t="s">
        <v>55</v>
      </c>
      <c r="B12" s="18">
        <f>-(B6-Assumptions!B29)*Assumptions!B11</f>
        <v>-111022893.67949472</v>
      </c>
      <c r="C12" s="18">
        <f>-(C6-B6)*Assumptions!B11</f>
        <v>-115770091.50531211</v>
      </c>
      <c r="D12" s="18">
        <f>-(D6-C6)*Assumptions!B11</f>
        <v>-116368418.25248794</v>
      </c>
      <c r="E12" s="18">
        <f>-(E6-D6)*Assumptions!B11</f>
        <v>-114451106.08970784</v>
      </c>
      <c r="F12" s="18">
        <f>-(F6-E6)*Assumptions!B11</f>
        <v>-109795699.75981806</v>
      </c>
      <c r="G12" s="18">
        <f>-(G6-F6)*Assumptions!B11</f>
        <v>-102276014.0466964</v>
      </c>
      <c r="H12" s="18">
        <f>-(H6-G6)*Assumptions!B11</f>
        <v>-91880094.73427095</v>
      </c>
      <c r="I12" s="18">
        <f>-(I6-H6)*Assumptions!B11</f>
        <v>-78722614.90726615</v>
      </c>
      <c r="J12" s="18">
        <f>-(J6-I6)*Assumptions!B11</f>
        <v>-63050109.9416333</v>
      </c>
      <c r="K12" s="18">
        <f>-(K6-J6)*Assumptions!B11</f>
        <v>-45237908.82625601</v>
      </c>
    </row>
    <row r="13" spans="1:11" x14ac:dyDescent="0.25">
      <c r="A13" s="19" t="s">
        <v>56</v>
      </c>
      <c r="B13" s="20">
        <f>B9+B10+B11+B12</f>
        <v>108272323.36552633</v>
      </c>
      <c r="C13" s="20">
        <f>C9+C10+C11+C12</f>
        <v>250613932.80709395</v>
      </c>
      <c r="D13" s="20">
        <f>D9+D10+D11+D12</f>
        <v>422321594.86639136</v>
      </c>
      <c r="E13" s="20">
        <f>E9+E10+E11+E12</f>
        <v>620599701.2294908</v>
      </c>
      <c r="F13" s="20">
        <f>F9+F10+F11+F12</f>
        <v>843279745.9818058</v>
      </c>
      <c r="G13" s="20">
        <f>G9+G10+G11+G12</f>
        <v>1086821111.1245692</v>
      </c>
      <c r="H13" s="20">
        <f>H9+H10+H11+H12</f>
        <v>1346323602.8772306</v>
      </c>
      <c r="I13" s="20">
        <f>I9+I10+I11+I12</f>
        <v>1615631461.1852689</v>
      </c>
      <c r="J13" s="20">
        <f>J9+J10+J11+J12</f>
        <v>1887532073.4305706</v>
      </c>
      <c r="K13" s="20">
        <f>K9+K10+K11+K12</f>
        <v>2154044638.784604</v>
      </c>
    </row>
    <row r="14" spans="1:11" x14ac:dyDescent="0.25">
      <c r="A14" t="s">
        <v>57</v>
      </c>
      <c r="B14" s="21">
        <f>1/(1+Assumptions!$B$26)^(1-0.5*Assumptions!$B$32)</f>
        <v>0.9609860026529365</v>
      </c>
      <c r="C14" s="21">
        <f>1/(1+Assumptions!$B$26)^(2-0.5*Assumptions!$B$32)</f>
        <v>0.8874649010329787</v>
      </c>
      <c r="D14" s="21">
        <f>1/(1+Assumptions!$B$26)^(3-0.5*Assumptions!$B$32)</f>
        <v>0.8195685976603315</v>
      </c>
      <c r="E14" s="21">
        <f>1/(1+Assumptions!$B$26)^(4-0.5*Assumptions!$B$32)</f>
        <v>0.7568667622675501</v>
      </c>
      <c r="F14" s="21">
        <f>1/(1+Assumptions!$B$26)^(5-0.5*Assumptions!$B$32)</f>
        <v>0.6989619873927617</v>
      </c>
      <c r="G14" s="21">
        <f>1/(1+Assumptions!$B$26)^(6-0.5*Assumptions!$B$32)</f>
        <v>0.6454872695907067</v>
      </c>
      <c r="H14" s="21">
        <f>1/(1+Assumptions!$B$26)^(7-0.5*Assumptions!$B$32)</f>
        <v>0.5961036833459997</v>
      </c>
      <c r="I14" s="21">
        <f>1/(1+Assumptions!$B$26)^(8-0.5*Assumptions!$B$32)</f>
        <v>0.5504982329457608</v>
      </c>
      <c r="J14" s="21">
        <f>1/(1+Assumptions!$B$26)^(9-0.5*Assumptions!$B$32)</f>
        <v>0.5083818686966662</v>
      </c>
      <c r="K14" s="21">
        <f>1/(1+Assumptions!$B$26)^(10-0.5*Assumptions!$B$32)</f>
        <v>0.46948765491310673</v>
      </c>
    </row>
    <row r="15" spans="1:11" x14ac:dyDescent="0.25">
      <c r="A15" s="19" t="s">
        <v>58</v>
      </c>
      <c r="B15" s="20">
        <f>B13*B14</f>
        <v>104048187.2289833</v>
      </c>
      <c r="C15" s="20">
        <f>C13*C14</f>
        <v>222411069.0761332</v>
      </c>
      <c r="D15" s="20">
        <f>D13*D14</f>
        <v>346121517.26632303</v>
      </c>
      <c r="E15" s="20">
        <f>E13*E14</f>
        <v>469711286.5337736</v>
      </c>
      <c r="F15" s="20">
        <f>F13*F14</f>
        <v>589420487.1795063</v>
      </c>
      <c r="G15" s="20">
        <f>G13*G14</f>
        <v>701529191.5533361</v>
      </c>
      <c r="H15" s="20">
        <f>H13*H14</f>
        <v>802548458.6507741</v>
      </c>
      <c r="I15" s="20">
        <f>I13*I14</f>
        <v>889402264.474068</v>
      </c>
      <c r="J15" s="20">
        <f>J13*J14</f>
        <v>959587082.7155266</v>
      </c>
      <c r="K15" s="20">
        <f>K13*K14</f>
        <v>1011297366.0411339</v>
      </c>
    </row>
    <row r="17" spans="1:2" x14ac:dyDescent="0.25">
      <c r="A17" s="22" t="s">
        <v>59</v>
      </c>
      <c r="B17" s="23">
        <f>SUM(B15:K15)</f>
        <v>6096076910.719559</v>
      </c>
    </row>
    <row r="19" spans="1:11" x14ac:dyDescent="0.25">
      <c r="A19" t="s">
        <v>7</v>
      </c>
      <c r="B19" s="9">
        <f>Assumptions!$B$10+($B$20-Assumptions!$B$10)*0/9</f>
        <v>0.3678726690387112</v>
      </c>
      <c r="C19" s="9">
        <f>Assumptions!$B$10+($B$20-Assumptions!$B$10)*1/9</f>
        <v>0.35727455074473596</v>
      </c>
      <c r="D19" s="9">
        <f>Assumptions!$B$10+($B$20-Assumptions!$B$10)*2/9</f>
        <v>0.34667643245076074</v>
      </c>
      <c r="E19" s="9">
        <f>Assumptions!$B$10+($B$20-Assumptions!$B$10)*3/9</f>
        <v>0.3360783141567855</v>
      </c>
      <c r="F19" s="9">
        <f>Assumptions!$B$10+($B$20-Assumptions!$B$10)*4/9</f>
        <v>0.3254801958628103</v>
      </c>
      <c r="G19" s="9">
        <f>Assumptions!$B$10+($B$20-Assumptions!$B$10)*5/9</f>
        <v>0.3148820775688351</v>
      </c>
      <c r="H19" s="9">
        <f>Assumptions!$B$10+($B$20-Assumptions!$B$10)*6/9</f>
        <v>0.30428395927485985</v>
      </c>
      <c r="I19" s="9">
        <f>Assumptions!$B$10+($B$20-Assumptions!$B$10)*7/9</f>
        <v>0.2936858409808846</v>
      </c>
      <c r="J19" s="9">
        <f>Assumptions!$B$10+($B$20-Assumptions!$B$10)*8/9</f>
        <v>0.2830877226869094</v>
      </c>
      <c r="K19" s="9">
        <f>Assumptions!$B$10+($B$20-Assumptions!$B$10)*9/9</f>
        <v>0.2724896043929342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0.2724896043929342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2154044638.784604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3122402280.7247195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0.30177217202906803</v>
      </c>
    </row>
    <row r="7" spans="1:2" x14ac:dyDescent="0.25">
      <c r="A7" t="s">
        <v>66</v>
      </c>
      <c r="B7" s="18">
        <f>-MAX(B5,0)*B6</f>
        <v>-942254118.2028145</v>
      </c>
    </row>
    <row r="8" spans="1:2" x14ac:dyDescent="0.25">
      <c r="A8" t="s">
        <v>67</v>
      </c>
      <c r="B8" s="18">
        <f>IF(OR(Assumptions!$B$33=0,Assumptions!B12&lt;=0),B5,MAX(B5+B7,0))</f>
        <v>2180148162.521905</v>
      </c>
    </row>
    <row r="9" spans="1:2" x14ac:dyDescent="0.25">
      <c r="A9" t="s">
        <v>68</v>
      </c>
      <c r="B9" s="18">
        <f>B8*(1+Assumptions!B12)/(Assumptions!B26-Assumptions!B12)</f>
        <v>38632418846.31538</v>
      </c>
    </row>
    <row r="10" spans="1:2" x14ac:dyDescent="0.25">
      <c r="A10" t="s">
        <v>69</v>
      </c>
      <c r="B10" s="18">
        <f>B9/(1+Assumptions!B26)^(10-0.5*Assumptions!B32)</f>
        <v>18137443727.777515</v>
      </c>
    </row>
    <row r="11" spans="1:2" x14ac:dyDescent="0.25">
      <c r="A11" t="s">
        <v>70</v>
      </c>
      <c r="B11" s="18">
        <f>Forecast!B17+B10</f>
        <v>24233520638.497074</v>
      </c>
    </row>
    <row r="12" spans="1:2" x14ac:dyDescent="0.25">
      <c r="A12" t="s">
        <v>71</v>
      </c>
      <c r="B12" s="18">
        <f>-Assumptions!B30</f>
        <v>-19499000000</v>
      </c>
    </row>
    <row r="13" spans="1:2" x14ac:dyDescent="0.25">
      <c r="A13" t="s">
        <v>72</v>
      </c>
      <c r="B13" s="18">
        <f>B11+B12</f>
        <v>4734520638.497074</v>
      </c>
    </row>
    <row r="14" spans="1:2" x14ac:dyDescent="0.25">
      <c r="A14" s="19" t="s">
        <v>73</v>
      </c>
      <c r="B14" s="24">
        <f>B13/Assumptions!B31</f>
        <v>48.25087531462628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7844876310.135908</v>
      </c>
    </row>
    <row r="18" spans="1:2" x14ac:dyDescent="0.25">
      <c r="A18" t="s">
        <v>68</v>
      </c>
      <c r="B18" s="18">
        <f>B17*Assumptions!B13</f>
        <v>156897526202.71817</v>
      </c>
    </row>
    <row r="19" spans="1:2" x14ac:dyDescent="0.25">
      <c r="A19" t="s">
        <v>69</v>
      </c>
      <c r="B19" s="18">
        <f>B18/(1+Assumptions!B26)^(10-0.5*Assumptions!B32)</f>
        <v>73661451638.58186</v>
      </c>
    </row>
    <row r="20" spans="1:2" x14ac:dyDescent="0.25">
      <c r="A20" t="s">
        <v>70</v>
      </c>
      <c r="B20" s="18">
        <f>Forecast!B17+B19</f>
        <v>79757528549.30142</v>
      </c>
    </row>
    <row r="21" spans="1:2" x14ac:dyDescent="0.25">
      <c r="A21" t="s">
        <v>71</v>
      </c>
      <c r="B21" s="18">
        <f>-Assumptions!B30</f>
        <v>-19499000000</v>
      </c>
    </row>
    <row r="22" spans="1:2" x14ac:dyDescent="0.25">
      <c r="A22" t="s">
        <v>72</v>
      </c>
      <c r="B22" s="18">
        <f>B20+B21</f>
        <v>60258528549.30142</v>
      </c>
    </row>
    <row r="23" spans="1:2" x14ac:dyDescent="0.25">
      <c r="A23" s="19" t="s">
        <v>73</v>
      </c>
      <c r="B23" s="25">
        <f>B22/Assumptions!B31</f>
        <v>614.1121709415878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1013.7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48.25087531462628</v>
      </c>
    </row>
    <row r="29" spans="1:2" x14ac:dyDescent="0.25">
      <c r="A29" s="19" t="s">
        <v>81</v>
      </c>
      <c r="B29" s="11">
        <f>B28/B26-1</f>
        <v>-0.9524012278636418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0.062844</v>
      </c>
      <c r="B5" s="31">
        <v>165.30347502486245</v>
      </c>
      <c r="C5" s="31">
        <v>159.2827115316533</v>
      </c>
      <c r="D5" s="31">
        <v>153.26194803844402</v>
      </c>
      <c r="E5" s="31">
        <v>147.24118454523494</v>
      </c>
      <c r="F5" s="31">
        <v>141.2204210520256</v>
      </c>
    </row>
    <row r="6" spans="1:6" x14ac:dyDescent="0.25">
      <c r="A6" s="30">
        <v>0.072844</v>
      </c>
      <c r="B6" s="31">
        <v>102.98901724235607</v>
      </c>
      <c r="C6" s="31">
        <v>98.08537257301502</v>
      </c>
      <c r="D6" s="31">
        <v>93.18172790367389</v>
      </c>
      <c r="E6" s="31">
        <v>88.27808323433277</v>
      </c>
      <c r="F6" s="31">
        <v>83.37443856499169</v>
      </c>
    </row>
    <row r="7" spans="1:6" x14ac:dyDescent="0.25">
      <c r="A7" s="30">
        <v>0.082844</v>
      </c>
      <c r="B7" s="31">
        <v>56.39878286892797</v>
      </c>
      <c r="C7" s="31">
        <v>52.3247393300167</v>
      </c>
      <c r="D7" s="32">
        <v>48.250695791105386</v>
      </c>
      <c r="E7" s="31">
        <v>44.17665225219415</v>
      </c>
      <c r="F7" s="31">
        <v>40.10260871328288</v>
      </c>
    </row>
    <row r="8" spans="1:6" x14ac:dyDescent="0.25">
      <c r="A8" s="30">
        <v>0.092844</v>
      </c>
      <c r="B8" s="31">
        <v>20.405678882393026</v>
      </c>
      <c r="C8" s="31">
        <v>16.96791110869729</v>
      </c>
      <c r="D8" s="31">
        <v>13.530143335001556</v>
      </c>
      <c r="E8" s="31">
        <v>10.092375561305822</v>
      </c>
      <c r="F8" s="31">
        <v>6.654607787610087</v>
      </c>
    </row>
    <row r="9" spans="1:6" x14ac:dyDescent="0.25">
      <c r="A9" s="30">
        <v>0.102844</v>
      </c>
      <c r="B9" s="31">
        <v>-8.119608211114844</v>
      </c>
      <c r="C9" s="31">
        <v>-11.056974233263258</v>
      </c>
      <c r="D9" s="31">
        <v>-13.994340255411752</v>
      </c>
      <c r="E9" s="31">
        <v>-16.931706277560284</v>
      </c>
      <c r="F9" s="31">
        <v>-19.869072299708737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9217000000</v>
      </c>
      <c r="C5" s="18">
        <v>8748000000</v>
      </c>
      <c r="D5" s="18">
        <v>8188000000</v>
      </c>
      <c r="E5" s="18">
        <v>7263000000</v>
      </c>
      <c r="F5" s="6" t="s">
        <v>91</v>
      </c>
    </row>
    <row r="6" spans="1:6" x14ac:dyDescent="0.25">
      <c r="A6" t="s">
        <v>51</v>
      </c>
      <c r="B6" s="18">
        <v>1966000000</v>
      </c>
      <c r="C6" s="18">
        <v>1624000000</v>
      </c>
      <c r="D6" s="18">
        <v>1451000000</v>
      </c>
      <c r="E6" s="18">
        <v>1226000000</v>
      </c>
      <c r="F6" s="6" t="s">
        <v>92</v>
      </c>
    </row>
    <row r="7" spans="1:6" x14ac:dyDescent="0.25">
      <c r="A7" t="s">
        <v>93</v>
      </c>
      <c r="B7" s="18">
        <v>2066000000</v>
      </c>
      <c r="C7" s="18">
        <v>2011000000</v>
      </c>
      <c r="D7" s="18">
        <v>1844000000</v>
      </c>
      <c r="E7" s="18">
        <v>1737000000</v>
      </c>
      <c r="F7" s="6" t="s">
        <v>94</v>
      </c>
    </row>
    <row r="8" spans="1:6" x14ac:dyDescent="0.25">
      <c r="A8" t="s">
        <v>95</v>
      </c>
      <c r="B8" s="18">
        <v>4311000000</v>
      </c>
      <c r="C8" s="18">
        <v>3066000000</v>
      </c>
      <c r="D8" s="18">
        <v>2781000000</v>
      </c>
      <c r="E8" s="18">
        <v>2278000000</v>
      </c>
      <c r="F8" s="6" t="s">
        <v>96</v>
      </c>
    </row>
    <row r="9" spans="1:6" x14ac:dyDescent="0.25">
      <c r="A9" t="s">
        <v>97</v>
      </c>
      <c r="B9" s="18">
        <v>101000000</v>
      </c>
      <c r="C9" s="18">
        <v>340000000</v>
      </c>
      <c r="D9" s="18">
        <v>77000000</v>
      </c>
      <c r="E9" s="18">
        <v>-25000000</v>
      </c>
      <c r="F9" s="6" t="s">
        <v>98</v>
      </c>
    </row>
    <row r="10" spans="1:6" x14ac:dyDescent="0.25">
      <c r="A10" t="s">
        <v>99</v>
      </c>
      <c r="B10" s="18">
        <v>22726000000</v>
      </c>
      <c r="C10" s="18">
        <v>18961000000</v>
      </c>
      <c r="D10" s="18">
        <v>17454000000</v>
      </c>
      <c r="E10" s="18">
        <v>16469554000</v>
      </c>
      <c r="F10" s="6" t="s">
        <v>100</v>
      </c>
    </row>
    <row r="11" spans="1:6" x14ac:dyDescent="0.25">
      <c r="A11" t="s">
        <v>101</v>
      </c>
      <c r="B11" s="18">
        <v>3227000000</v>
      </c>
      <c r="C11" s="18">
        <v>3608000000</v>
      </c>
      <c r="D11" s="18">
        <v>2096000000</v>
      </c>
      <c r="E11" s="18">
        <v>1906421000</v>
      </c>
      <c r="F11" s="6" t="s">
        <v>102</v>
      </c>
    </row>
    <row r="12" spans="1:6" x14ac:dyDescent="0.25">
      <c r="A12" t="s">
        <v>34</v>
      </c>
      <c r="B12" s="34">
        <v>98123000</v>
      </c>
      <c r="C12" s="34">
        <v>95827000</v>
      </c>
      <c r="D12" s="34">
        <v>94009000</v>
      </c>
      <c r="E12" s="34">
        <v>91828000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8" ht="38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