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<sst xmlns="http://schemas.openxmlformats.org/spreadsheetml/2006/main" count="113" uniqueCount="101">
  <si>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Equinix, Inc. (EQIX)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</si>
  <si>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</si>
  <si>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</si>
  <si>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</si>
  <si>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</si>
  <si>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</si>
  <si>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</si>
  <si>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</si>
  <si>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</si>
  <si>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</si>
  <si>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</si>
  <si>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</si>
  <si>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</si>
  <si>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</si>
  <si>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</si>
  <si>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</si>
  <si>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</si>
  <si>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</si>
  <si>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</si>
  <si>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</si>
  <si>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</si>
  <si>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</si>
  <si>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</si>
  <si>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</si>
  <si>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</si>
  <si>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</si>
  <si>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</si>
  <si>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</si>
  <si>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</si>
  <si>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</si>
  <si>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</si>
  <si>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</si>
  <si>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</si>
  <si>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</si>
  <si>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</si>
  <si>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</si>
  <si>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</si>
  <si>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</si>
  <si>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</si>
  <si>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</si>
  <si>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</si>
  <si>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</si>
  <si>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</si>
  <si>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</si>
  <si>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</si>
  <si>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</si>
  <si>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</si>
  <si>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</si>
  <si>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</si>
  <si>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</si>
  <si>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</si>
  <si>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</si>
  <si>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</si>
  <si>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</si>
  <si>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</si>
  <si>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</si>
  <si>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</si>
  <si>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</si>
  <si>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</si>
  <si>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</si>
  <si>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</si>
  <si>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</si>
  <si>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</si>
  <si>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</si>
  <si>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</si>
  <si>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</si>
  <si>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</si>
  <si>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</si>
  <si>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</si>
  <si>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</si>
  <si>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</si>
  <si>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</si>
  <si>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</si>
  <si>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</si>
  <si>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</si>
  <si>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</si>
  <si>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</si>
  <si>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</si>
  <si>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</si>
  <si>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</si>
  <si>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</si>
  <si>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</si>
  <si>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</si>
  <si>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</si>
  <si>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</si>
  <si>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</si>
  <si>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</si>
  <si>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</si>
  <si>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</si>
  <si>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</si>
  <si>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</si>
  <si>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</si>
  <si>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</si>
  <si>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</si>
  <si>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</si>
  <si>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</si>
  <si>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</si>
  <si>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</si>
  <si>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36.8% of revenue against depreciation of 23.0%. A perpetuity has to be a steady state, so the terminal year uses maintenance capex at depreciation and then charges the reinvestment terminal growth requires (g/ROIC of NOPAT). The bridge is shown under Terminal Value.</t>
  </si>
  <si>
    <t>Current EV/EBITDA of 29.8x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</si>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</sst>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0.08265773019010236</v>
      </c>
    </row>
    <row r="7" spans="1:2" x14ac:dyDescent="0.25">
      <c r="A7" t="s">
        <v>5</v>
      </c>
      <c r="B7" s="6">
        <v>0.18623881592437863</v>
      </c>
    </row>
    <row r="8" spans="1:2" x14ac:dyDescent="0.25">
      <c r="A8" t="s">
        <v>6</v>
      </c>
      <c r="B8" s="6">
        <v>0.14373908022786103</v>
      </c>
    </row>
    <row r="9" spans="1:2" x14ac:dyDescent="0.25">
      <c r="A9" t="s">
        <v>7</v>
      </c>
      <c r="B9" s="6">
        <v>0.22959928371449398</v>
      </c>
    </row>
    <row r="10" spans="1:2" x14ac:dyDescent="0.25">
      <c r="A10" t="s">
        <v>8</v>
      </c>
      <c r="B10" s="6">
        <v>0.3678726690387112</v>
      </c>
    </row>
    <row r="11" spans="1:2" x14ac:dyDescent="0.25">
      <c r="A11" t="s">
        <v>9</v>
      </c>
      <c r="B11" s="6">
        <v>0.21535181236673773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0.09272556427023336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0.98191</v>
      </c>
      <c r="C19" s="8" t="s">
        <v>19</v>
      </c>
    </row>
    <row r="20" spans="1:2" x14ac:dyDescent="0.25">
      <c r="A20" t="s">
        <v>20</v>
      </c>
      <c r="B20" s="10">
        <f>B17+B19*B18</f>
        <v>0.10398505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100777345024</v>
      </c>
    </row>
    <row r="23" spans="1:2" x14ac:dyDescent="0.25">
      <c r="A23" t="s">
        <v>24</v>
      </c>
      <c r="B23" s="11">
        <v>22726000000</v>
      </c>
    </row>
    <row r="24" spans="1:2" x14ac:dyDescent="0.25">
      <c r="A24" t="s">
        <v>25</v>
      </c>
      <c r="B24" s="10">
        <f>B22/(B22+B23)</f>
        <v>0.8159887896511326</v>
      </c>
    </row>
    <row r="25" spans="1:2" x14ac:dyDescent="0.25">
      <c r="A25" t="s">
        <v>26</v>
      </c>
      <c r="B25" s="10">
        <f>1-B24</f>
        <v>0.18401121034886736</v>
      </c>
    </row>
    <row r="26" spans="1:2" x14ac:dyDescent="0.25">
      <c r="A26" t="s">
        <v>27</v>
      </c>
      <c r="B26" s="12">
        <f>B24*B20+B25*B21*(1-B8)</f>
        <v>0.09272556427023336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9217000000</v>
      </c>
      <c r="C29" s="8" t="s">
        <v>30</v>
      </c>
    </row>
    <row r="30" spans="1:2" x14ac:dyDescent="0.25">
      <c r="A30" t="s">
        <v>31</v>
      </c>
      <c r="B30" s="11">
        <v>19499000000</v>
      </c>
    </row>
    <row r="31" spans="1:2" x14ac:dyDescent="0.25">
      <c r="A31" t="s">
        <v>32</v>
      </c>
      <c r="B31" s="13">
        <v>98123000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0.08265773019010236</v>
      </c>
      <c r="C5" s="10">
        <f>Assumptions!B6</f>
        <v>0.08265773019010236</v>
      </c>
      <c r="D5" s="10">
        <f>Assumptions!B6</f>
        <v>0.08265773019010236</v>
      </c>
      <c r="E5" s="10">
        <f>Assumptions!B6</f>
        <v>0.08265773019010236</v>
      </c>
      <c r="F5" s="10">
        <f>Assumptions!B6</f>
        <v>0.08265773019010236</v>
      </c>
    </row>
    <row r="6" spans="1:6" x14ac:dyDescent="0.25">
      <c r="A6" t="s">
        <v>43</v>
      </c>
      <c r="B6" s="18">
        <f>Assumptions!B29*(1+B5)</f>
        <v>9978856299.162174</v>
      </c>
      <c r="C6" s="18">
        <f>B6*(1+C5)</f>
        <v>10803685910.744125</v>
      </c>
      <c r="D6" s="18">
        <f>C6*(1+D5)</f>
        <v>11696694065.813025</v>
      </c>
      <c r="E6" s="18">
        <f>D6*(1+E5)</f>
        <v>12663516248.02117</v>
      </c>
      <c r="F6" s="18">
        <f>E6*(1+F5)</f>
        <v>13710253757.30808</v>
      </c>
    </row>
    <row r="7" spans="1:6" x14ac:dyDescent="0.25">
      <c r="A7" t="s">
        <v>5</v>
      </c>
      <c r="B7" s="10">
        <f>Assumptions!B7</f>
        <v>0.18623881592437863</v>
      </c>
      <c r="C7" s="10">
        <f>Assumptions!B7</f>
        <v>0.18623881592437863</v>
      </c>
      <c r="D7" s="10">
        <f>Assumptions!B7</f>
        <v>0.18623881592437863</v>
      </c>
      <c r="E7" s="10">
        <f>Assumptions!B7</f>
        <v>0.18623881592437863</v>
      </c>
      <c r="F7" s="10">
        <f>Assumptions!B7</f>
        <v>0.18623881592437863</v>
      </c>
    </row>
    <row r="8" spans="1:6" x14ac:dyDescent="0.25">
      <c r="A8" t="s">
        <v>44</v>
      </c>
      <c r="B8" s="18">
        <f>B6*B7</f>
        <v>1858450381.4354904</v>
      </c>
      <c r="C8" s="18">
        <f>C6*C7</f>
        <v>2012065671.635878</v>
      </c>
      <c r="D8" s="18">
        <f>D6*D7</f>
        <v>2178378453.046724</v>
      </c>
      <c r="E8" s="18">
        <f>E6*E7</f>
        <v>2358438271.4705925</v>
      </c>
      <c r="F8" s="18">
        <f>F6*F7</f>
        <v>2553381425.78382</v>
      </c>
    </row>
    <row r="9" spans="1:6" x14ac:dyDescent="0.25">
      <c r="A9" t="s">
        <v>45</v>
      </c>
      <c r="B9" s="18">
        <f>B8*(1-Assumptions!B8)</f>
        <v>1591318432.9588354</v>
      </c>
      <c r="C9" s="18">
        <f>C8*(1-Assumptions!B8)</f>
        <v>1722853202.6368835</v>
      </c>
      <c r="D9" s="18">
        <f>D8*(1-Assumptions!B8)</f>
        <v>1865260337.817597</v>
      </c>
      <c r="E9" s="18">
        <f>E8*(1-Assumptions!B8)</f>
        <v>2019438523.555223</v>
      </c>
      <c r="F9" s="18">
        <f>F8*(1-Assumptions!B8)</f>
        <v>2186360728.170749</v>
      </c>
    </row>
    <row r="10" spans="1:6" x14ac:dyDescent="0.25">
      <c r="A10" t="s">
        <v>46</v>
      </c>
      <c r="B10" s="18">
        <f>B6*Assumptions!B9</f>
        <v>2291138258.5775013</v>
      </c>
      <c r="C10" s="18">
        <f>C6*Assumptions!B9</f>
        <v>2480518546.583222</v>
      </c>
      <c r="D10" s="18">
        <f>D6*Assumptions!B9</f>
        <v>2685552579.3382425</v>
      </c>
      <c r="E10" s="18">
        <f>E6*Assumptions!B9</f>
        <v>2907534259.8525167</v>
      </c>
      <c r="F10" s="18">
        <f>F6*Assumptions!B9</f>
        <v>3147864442.221885</v>
      </c>
    </row>
    <row r="11" spans="1:6" x14ac:dyDescent="0.25">
      <c r="A11" t="s">
        <v>47</v>
      </c>
      <c r="B11" s="18">
        <f>-B6*Assumptions!B10</f>
        <v>-3670948500.726545</v>
      </c>
      <c r="C11" s="18">
        <f>-C6*Assumptions!B10</f>
        <v>-3974380771.4413605</v>
      </c>
      <c r="D11" s="18">
        <f>-D6*Assumptions!B10</f>
        <v>-4302894064.919892</v>
      </c>
      <c r="E11" s="18">
        <f>-E6*Assumptions!B10</f>
        <v>-4658561521.574634</v>
      </c>
      <c r="F11" s="18">
        <f>-F6*Assumptions!B10</f>
        <v>-5043627642.898942</v>
      </c>
    </row>
    <row r="12" spans="1:6" x14ac:dyDescent="0.25">
      <c r="A12" t="s">
        <v>48</v>
      </c>
      <c r="B12" s="18">
        <f>-(B6-Assumptions!B29)*Assumptions!B11</f>
        <v>-164067134.78758976</v>
      </c>
      <c r="C12" s="18">
        <f>-(C6-B6)*Assumptions!B11</f>
        <v>-177628551.7479255</v>
      </c>
      <c r="D12" s="18">
        <f>-(D6-C6)*Assumptions!B11</f>
        <v>-192310924.6523642</v>
      </c>
      <c r="E12" s="18">
        <f>-(E6-D6)*Assumptions!B11</f>
        <v>-208206909.17488837</v>
      </c>
      <c r="F12" s="18">
        <f>-(F6-E6)*Assumptions!B11</f>
        <v>-225416819.69718125</v>
      </c>
    </row>
    <row r="13" spans="1:6" x14ac:dyDescent="0.25">
      <c r="A13" s="19" t="s">
        <v>49</v>
      </c>
      <c r="B13" s="20">
        <f>B9+B10+B11+B12</f>
        <v>47441056.02220228</v>
      </c>
      <c r="C13" s="20">
        <f>C9+C10+C11+C12</f>
        <v>51362426.03081921</v>
      </c>
      <c r="D13" s="20">
        <f>D9+D10+D11+D12</f>
        <v>55607927.583583415</v>
      </c>
      <c r="E13" s="20">
        <f>E9+E10+E11+E12</f>
        <v>60204352.65821767</v>
      </c>
      <c r="F13" s="20">
        <f>F9+F10+F11+F12</f>
        <v>65180707.79651114</v>
      </c>
    </row>
    <row r="14" spans="1:6" x14ac:dyDescent="0.25">
      <c r="A14" t="s">
        <v>50</v>
      </c>
      <c r="B14" s="21">
        <f>1/(1+Assumptions!$B$26)^(1-0.5*Assumptions!$B$32)</f>
        <v>0.9566309956068827</v>
      </c>
      <c r="C14" s="21">
        <f>1/(1+Assumptions!$B$26)^(2-0.5*Assumptions!$B$32)</f>
        <v>0.875454026963998</v>
      </c>
      <c r="D14" s="21">
        <f>1/(1+Assumptions!$B$26)^(3-0.5*Assumptions!$B$32)</f>
        <v>0.8011655035714862</v>
      </c>
      <c r="E14" s="21">
        <f>1/(1+Assumptions!$B$26)^(4-0.5*Assumptions!$B$32)</f>
        <v>0.7331808916784491</v>
      </c>
      <c r="F14" s="21">
        <f>1/(1+Assumptions!$B$26)^(5-0.5*Assumptions!$B$32)</f>
        <v>0.6709652593952967</v>
      </c>
    </row>
    <row r="15" spans="1:6" x14ac:dyDescent="0.25">
      <c r="A15" s="19" t="s">
        <v>51</v>
      </c>
      <c r="B15" s="20">
        <f>B13*B14</f>
        <v>45383584.65516127</v>
      </c>
      <c r="C15" s="20">
        <f>C13*C14</f>
        <v>44965442.70332115</v>
      </c>
      <c r="D15" s="20">
        <f>D13*D14</f>
        <v>44551153.305068344</v>
      </c>
      <c r="E15" s="20">
        <f>E13*E14</f>
        <v>44140680.96487584</v>
      </c>
      <c r="F15" s="20">
        <f>F13*F14</f>
        <v>43733990.514255136</v>
      </c>
    </row>
    <row r="17" spans="1:2" x14ac:dyDescent="0.25">
      <c r="A17" s="22" t="s">
        <v>52</v>
      </c>
      <c r="B17" s="23">
        <f>SUM(B15:F15)</f>
        <v>222774852.14268175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65180707.79651114</v>
      </c>
    </row>
    <row r="5" spans="1:2" x14ac:dyDescent="0.25">
      <c r="A5" t="s">
        <v>56</v>
      </c>
      <c r="B5" s="18">
        <f>IF(Assumptions!$B$33=0,B4,B4-Forecast!F11-Forecast!F10-Forecast!F12)</f>
        <v>2269198697.018716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0.2696128106283789</v>
      </c>
    </row>
    <row r="7" spans="1:2" x14ac:dyDescent="0.25">
      <c r="A7" t="s">
        <v>58</v>
      </c>
      <c r="B7" s="18">
        <f>-MAX(Forecast!F9,0)*B6</f>
        <v>-611805038.5774711</v>
      </c>
    </row>
    <row r="8" spans="1:2" x14ac:dyDescent="0.25">
      <c r="A8" t="s">
        <v>59</v>
      </c>
      <c r="B8" s="18">
        <f>IF(OR(Assumptions!$B$33=0,Assumptions!B12&lt;=0),B5,MAX(B5+B7,0))</f>
        <v>1657393658.4412446</v>
      </c>
    </row>
    <row r="9" spans="1:2" x14ac:dyDescent="0.25">
      <c r="A9" t="s">
        <v>60</v>
      </c>
      <c r="B9" s="18">
        <f>B8*(1+Assumptions!B12)/(Assumptions!B26-Assumptions!B12)</f>
        <v>25084006581.676315</v>
      </c>
    </row>
    <row r="10" spans="1:2" x14ac:dyDescent="0.25">
      <c r="A10" t="s">
        <v>61</v>
      </c>
      <c r="B10" s="18">
        <f>B9/(1+Assumptions!B26)^(5-0.5*Assumptions!B32)</f>
        <v>16830496982.74778</v>
      </c>
    </row>
    <row r="11" spans="1:2" x14ac:dyDescent="0.25">
      <c r="A11" t="s">
        <v>62</v>
      </c>
      <c r="B11" s="18">
        <f>Forecast!B17+B10</f>
        <v>17053271834.890461</v>
      </c>
    </row>
    <row r="12" spans="1:2" x14ac:dyDescent="0.25">
      <c r="A12" t="s">
        <v>63</v>
      </c>
      <c r="B12" s="18">
        <f>-Assumptions!B30</f>
        <v>-19499000000</v>
      </c>
    </row>
    <row r="13" spans="1:2" x14ac:dyDescent="0.25">
      <c r="A13" t="s">
        <v>64</v>
      </c>
      <c r="B13" s="18">
        <f>B11+B12</f>
        <v>-2445728165.109539</v>
      </c>
    </row>
    <row r="14" spans="1:2" x14ac:dyDescent="0.25">
      <c r="A14" s="19" t="s">
        <v>65</v>
      </c>
      <c r="B14" s="24">
        <f>B13/Assumptions!B31</f>
        <v>-24.925126271205926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5701245868.005705</v>
      </c>
    </row>
    <row r="18" spans="1:2" x14ac:dyDescent="0.25">
      <c r="A18" t="s">
        <v>60</v>
      </c>
      <c r="B18" s="18">
        <f>B17*Assumptions!B13</f>
        <v>114024917360.1141</v>
      </c>
    </row>
    <row r="19" spans="1:2" x14ac:dyDescent="0.25">
      <c r="A19" t="s">
        <v>61</v>
      </c>
      <c r="B19" s="18">
        <f>B18/(1+Assumptions!B26)^(5-0.5*Assumptions!B32)</f>
        <v>76506758254.05623</v>
      </c>
    </row>
    <row r="20" spans="1:2" x14ac:dyDescent="0.25">
      <c r="A20" t="s">
        <v>62</v>
      </c>
      <c r="B20" s="18">
        <f>Forecast!B17+B19</f>
        <v>76729533106.19891</v>
      </c>
    </row>
    <row r="21" spans="1:2" x14ac:dyDescent="0.25">
      <c r="A21" t="s">
        <v>63</v>
      </c>
      <c r="B21" s="18">
        <f>-Assumptions!B30</f>
        <v>-19499000000</v>
      </c>
    </row>
    <row r="22" spans="1:2" x14ac:dyDescent="0.25">
      <c r="A22" t="s">
        <v>64</v>
      </c>
      <c r="B22" s="18">
        <f>B20+B21</f>
        <v>57230533106.19891</v>
      </c>
    </row>
    <row r="23" spans="1:2" x14ac:dyDescent="0.25">
      <c r="A23" s="19" t="s">
        <v>65</v>
      </c>
      <c r="B23" s="25">
        <f>B22/Assumptions!B31</f>
        <v>583.2529896782498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1021.34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-24.925126271205926</v>
      </c>
    </row>
    <row r="29" spans="1:2" x14ac:dyDescent="0.25">
      <c r="A29" s="19" t="s">
        <v>73</v>
      </c>
      <c r="B29" s="12">
        <f>B28/B26-1</f>
        <v>-1.02440433770459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0.072726</v>
      </c>
      <c r="B5" s="31">
        <v>38.98829991654059</v>
      </c>
      <c r="C5" s="31">
        <v>40.14756399676641</v>
      </c>
      <c r="D5" s="31">
        <v>41.30682807699215</v>
      </c>
      <c r="E5" s="31">
        <v>42.46609215721793</v>
      </c>
      <c r="F5" s="31">
        <v>43.62535623744367</v>
      </c>
    </row>
    <row r="6" spans="1:6" x14ac:dyDescent="0.25">
      <c r="A6" s="30">
        <v>0.082726</v>
      </c>
      <c r="B6" s="31">
        <v>2.026050177530334</v>
      </c>
      <c r="C6" s="31">
        <v>3.003503754434317</v>
      </c>
      <c r="D6" s="31">
        <v>3.9809573313382614</v>
      </c>
      <c r="E6" s="31">
        <v>4.958410908242167</v>
      </c>
      <c r="F6" s="31">
        <v>5.9358644851461495</v>
      </c>
    </row>
    <row r="7" spans="1:6" x14ac:dyDescent="0.25">
      <c r="A7" s="30">
        <v>0.092726</v>
      </c>
      <c r="B7" s="31">
        <v>-26.599641049261432</v>
      </c>
      <c r="C7" s="31">
        <v>-25.7629416804528</v>
      </c>
      <c r="D7" s="32">
        <v>-24.926242311644287</v>
      </c>
      <c r="E7" s="31">
        <v>-24.089542942835696</v>
      </c>
      <c r="F7" s="31">
        <v>-23.252843574027082</v>
      </c>
    </row>
    <row r="8" spans="1:6" x14ac:dyDescent="0.25">
      <c r="A8" s="30">
        <v>0.102726</v>
      </c>
      <c r="B8" s="31">
        <v>-49.34243721269076</v>
      </c>
      <c r="C8" s="31">
        <v>-48.617522241026286</v>
      </c>
      <c r="D8" s="31">
        <v>-47.89260726936183</v>
      </c>
      <c r="E8" s="31">
        <v>-47.16769229769738</v>
      </c>
      <c r="F8" s="31">
        <v>-46.442777326032925</v>
      </c>
    </row>
    <row r="9" spans="1:6" x14ac:dyDescent="0.25">
      <c r="A9" s="30">
        <v>0.112726</v>
      </c>
      <c r="B9" s="31">
        <v>-67.78418503405842</v>
      </c>
      <c r="C9" s="31">
        <v>-67.14987650098024</v>
      </c>
      <c r="D9" s="31">
        <v>-66.51556796790209</v>
      </c>
      <c r="E9" s="31">
        <v>-65.8812594348239</v>
      </c>
      <c r="F9" s="31">
        <v>-65.24695090174576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9217000000</v>
      </c>
      <c r="C5" s="18">
        <v>8748000000</v>
      </c>
      <c r="D5" s="18">
        <v>8188000000</v>
      </c>
      <c r="E5" s="18">
        <v>7263000000</v>
      </c>
      <c r="F5" s="8" t="s">
        <v>84</v>
      </c>
    </row>
    <row r="6" spans="1:6" x14ac:dyDescent="0.25">
      <c r="A6" t="s">
        <v>44</v>
      </c>
      <c r="B6" s="18">
        <v>1966000000</v>
      </c>
      <c r="C6" s="18">
        <v>1624000000</v>
      </c>
      <c r="D6" s="18">
        <v>1451000000</v>
      </c>
      <c r="E6" s="18">
        <v>1226000000</v>
      </c>
      <c r="F6" s="8" t="s">
        <v>85</v>
      </c>
    </row>
    <row r="7" spans="1:6" x14ac:dyDescent="0.25">
      <c r="A7" t="s">
        <v>86</v>
      </c>
      <c r="B7" s="18">
        <v>2066000000</v>
      </c>
      <c r="C7" s="18">
        <v>2011000000</v>
      </c>
      <c r="D7" s="18">
        <v>1844000000</v>
      </c>
      <c r="E7" s="18">
        <v>1737000000</v>
      </c>
      <c r="F7" s="8" t="s">
        <v>87</v>
      </c>
    </row>
    <row r="8" spans="1:6" x14ac:dyDescent="0.25">
      <c r="A8" t="s">
        <v>88</v>
      </c>
      <c r="B8" s="18">
        <v>4311000000</v>
      </c>
      <c r="C8" s="18">
        <v>3066000000</v>
      </c>
      <c r="D8" s="18">
        <v>2781000000</v>
      </c>
      <c r="E8" s="18">
        <v>2278000000</v>
      </c>
      <c r="F8" s="8" t="s">
        <v>89</v>
      </c>
    </row>
    <row r="9" spans="1:6" x14ac:dyDescent="0.25">
      <c r="A9" t="s">
        <v>90</v>
      </c>
      <c r="B9" s="18">
        <v>101000000</v>
      </c>
      <c r="C9" s="18">
        <v>340000000</v>
      </c>
      <c r="D9" s="18">
        <v>77000000</v>
      </c>
      <c r="E9" s="18">
        <v>-25000000</v>
      </c>
      <c r="F9" s="8" t="s">
        <v>91</v>
      </c>
    </row>
    <row r="10" spans="1:6" x14ac:dyDescent="0.25">
      <c r="A10" t="s">
        <v>92</v>
      </c>
      <c r="B10" s="18">
        <v>22726000000</v>
      </c>
      <c r="C10" s="18">
        <v>18961000000</v>
      </c>
      <c r="D10" s="18">
        <v>17454000000</v>
      </c>
      <c r="E10" s="18">
        <v>16469554000</v>
      </c>
      <c r="F10" s="8" t="s">
        <v>93</v>
      </c>
    </row>
    <row r="11" spans="1:6" x14ac:dyDescent="0.25">
      <c r="A11" t="s">
        <v>94</v>
      </c>
      <c r="B11" s="18">
        <v>3227000000</v>
      </c>
      <c r="C11" s="18">
        <v>3608000000</v>
      </c>
      <c r="D11" s="18">
        <v>2096000000</v>
      </c>
      <c r="E11" s="18">
        <v>1906421000</v>
      </c>
      <c r="F11" s="8" t="s">
        <v>95</v>
      </c>
    </row>
    <row r="12" spans="1:6" x14ac:dyDescent="0.25">
      <c r="A12" t="s">
        <v>32</v>
      </c>
      <c r="B12" s="34">
        <v>98123000</v>
      </c>
      <c r="C12" s="34">
        <v>95827000</v>
      </c>
      <c r="D12" s="34">
        <v>94009000</v>
      </c>
      <c r="E12" s="34">
        <v>91828000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