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<sst xmlns="http://schemas.openxmlformats.org/spreadsheetml/2006/main" count="111" uniqueCount="99">
  <si>
    <t>EQT Corporation (EQT)</t>
  </si>
  <si>
    <t>DCF Studio - Base case</t>
  </si>
  <si>
    <t>Blue figures on a cream fill are inputs. Every other figure is a formula - change an input and the model reprices. Currency figures are USD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</si>
  <si>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</si>
  <si>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</si>
  <si>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</si>
  <si>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</si>
  <si>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</si>
  <si>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</si>
  <si>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</si>
  <si>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</si>
  <si>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</si>
  <si>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</si>
  <si>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Floored at WACC (reported ROIC below cost of capital)</t>
  </si>
  <si>
    <t>Discount rate</t>
  </si>
  <si>
    <t>Risk-free rate</t>
  </si>
  <si>
    <t>US 10-year Treasury (^TNX)</t>
  </si>
  <si>
    <t>Equity risk premium</t>
  </si>
  <si>
    <t>Beta</t>
  </si>
  <si>
    <t>As reported</t>
  </si>
  <si>
    <t>Cost of equity</t>
  </si>
  <si>
    <t>Cost of debt</t>
  </si>
  <si>
    <t>Interest expense / average total debt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</si>
  <si>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</si>
  <si>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</si>
  <si>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</si>
  <si>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</si>
  <si>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</si>
  <si>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</si>
  <si>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</si>
  <si>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</si>
  <si>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</si>
  <si>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</si>
  <si>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</si>
  <si>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</si>
  <si>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</si>
  <si>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</si>
  <si>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</si>
  <si>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</si>
  <si>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</si>
  <si>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</si>
  <si>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</si>
  <si>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</si>
  <si>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</si>
  <si>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</si>
  <si>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</si>
  <si>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</si>
  <si>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</si>
  <si>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</si>
  <si>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</si>
  <si>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</si>
  <si>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</si>
  <si>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</si>
  <si>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(USD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</si>
  <si>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</si>
  <si>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</si>
  <si>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</si>
  <si>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</si>
  <si>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</si>
  <si>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</si>
  <si>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</si>
  <si>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</si>
  <si>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</si>
  <si>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</si>
  <si>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</si>
  <si>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</si>
  <si>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</si>
  <si>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</si>
  <si>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</si>
  <si>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</si>
  <si>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</si>
  <si>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</si>
  <si>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</si>
  <si>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</si>
  <si>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</si>
  <si>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</si>
  <si>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</si>
  <si>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</si>
  <si>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</si>
  <si>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</si>
  <si>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</si>
  <si>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</si>
  <si>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</si>
  <si>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</si>
  <si>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</si>
  <si>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</si>
  <si>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</si>
  <si>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reconciledDepreciation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</si>
  <si>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</si>
  <si>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</si>
  <si>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</si>
  <si>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</si>
  <si>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</si>
  <si>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</si>
  <si>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</si>
  <si>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</si>
  <si>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</si>
  <si>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</si>
  <si>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Data: Yahoo Finance. Risk-free rate: US 10-year Treasury (^TNX).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</si>
</sst>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-0.11718245847505004</v>
      </c>
    </row>
    <row r="7" spans="1:2" x14ac:dyDescent="0.25">
      <c r="A7" t="s">
        <v>5</v>
      </c>
      <c r="B7" s="6">
        <v>0.29569132497542305</v>
      </c>
    </row>
    <row r="8" spans="1:2" x14ac:dyDescent="0.25">
      <c r="A8" t="s">
        <v>6</v>
      </c>
      <c r="B8" s="6">
        <v>0.19716690896653966</v>
      </c>
    </row>
    <row r="9" spans="1:2" x14ac:dyDescent="0.25">
      <c r="A9" t="s">
        <v>7</v>
      </c>
      <c r="B9" s="6">
        <v>0.30189599462639255</v>
      </c>
    </row>
    <row r="10" spans="1:2" x14ac:dyDescent="0.25">
      <c r="A10" t="s">
        <v>8</v>
      </c>
      <c r="B10" s="6">
        <v>0.3047766321055614</v>
      </c>
    </row>
    <row r="11" spans="1:2" x14ac:dyDescent="0.25">
      <c r="A11" t="s">
        <v>9</v>
      </c>
      <c r="B11" s="6">
        <v>0.07348392299646282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6.950111744754396</v>
      </c>
    </row>
    <row r="14" spans="1:3" x14ac:dyDescent="0.25">
      <c r="A14" t="s">
        <v>12</v>
      </c>
      <c r="B14" s="6">
        <v>0.07962436548867899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0.049980000000000004</v>
      </c>
      <c r="C17" s="8" t="s">
        <v>16</v>
      </c>
    </row>
    <row r="18" spans="1:2" x14ac:dyDescent="0.25">
      <c r="A18" t="s">
        <v>17</v>
      </c>
      <c r="B18" s="6">
        <v>0.055</v>
      </c>
    </row>
    <row r="19" spans="1:3" x14ac:dyDescent="0.25">
      <c r="A19" t="s">
        <v>18</v>
      </c>
      <c r="B19" s="9">
        <v>0.7159199999999999</v>
      </c>
      <c r="C19" s="8" t="s">
        <v>19</v>
      </c>
    </row>
    <row r="20" spans="1:2" x14ac:dyDescent="0.25">
      <c r="A20" t="s">
        <v>20</v>
      </c>
      <c r="B20" s="10">
        <f>B17+B19*B18</f>
        <v>0.08935560000000001</v>
      </c>
    </row>
    <row r="21" spans="1:3" x14ac:dyDescent="0.25">
      <c r="A21" t="s">
        <v>21</v>
      </c>
      <c r="B21" s="6">
        <v>0.050938468079231525</v>
      </c>
      <c r="C21" s="8" t="s">
        <v>22</v>
      </c>
    </row>
    <row r="22" spans="1:2" x14ac:dyDescent="0.25">
      <c r="A22" t="s">
        <v>23</v>
      </c>
      <c r="B22" s="11">
        <v>31275802624</v>
      </c>
    </row>
    <row r="23" spans="1:2" x14ac:dyDescent="0.25">
      <c r="A23" t="s">
        <v>24</v>
      </c>
      <c r="B23" s="11">
        <v>7858452000</v>
      </c>
    </row>
    <row r="24" spans="1:2" x14ac:dyDescent="0.25">
      <c r="A24" t="s">
        <v>25</v>
      </c>
      <c r="B24" s="10">
        <f>B22/(B22+B23)</f>
        <v>0.799192495794193</v>
      </c>
    </row>
    <row r="25" spans="1:2" x14ac:dyDescent="0.25">
      <c r="A25" t="s">
        <v>26</v>
      </c>
      <c r="B25" s="10">
        <f>1-B24</f>
        <v>0.20080750420580695</v>
      </c>
    </row>
    <row r="26" spans="1:2" x14ac:dyDescent="0.25">
      <c r="A26" t="s">
        <v>27</v>
      </c>
      <c r="B26" s="12">
        <f>B24*B20+B25*B21*(1-B8)</f>
        <v>0.07962436548867899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8353217000</v>
      </c>
      <c r="C29" s="8" t="s">
        <v>30</v>
      </c>
    </row>
    <row r="30" spans="1:2" x14ac:dyDescent="0.25">
      <c r="A30" t="s">
        <v>31</v>
      </c>
      <c r="B30" s="11">
        <v>7747657000</v>
      </c>
    </row>
    <row r="31" spans="1:2" x14ac:dyDescent="0.25">
      <c r="A31" t="s">
        <v>32</v>
      </c>
      <c r="B31" s="13">
        <v>615717000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-0.11718245847505004</v>
      </c>
      <c r="C5" s="10">
        <f>Assumptions!B6</f>
        <v>-0.11718245847505004</v>
      </c>
      <c r="D5" s="10">
        <f>Assumptions!B6</f>
        <v>-0.11718245847505004</v>
      </c>
      <c r="E5" s="10">
        <f>Assumptions!B6</f>
        <v>-0.11718245847505004</v>
      </c>
      <c r="F5" s="10">
        <f>Assumptions!B6</f>
        <v>-0.11718245847505004</v>
      </c>
    </row>
    <row r="6" spans="1:6" x14ac:dyDescent="0.25">
      <c r="A6" t="s">
        <v>43</v>
      </c>
      <c r="B6" s="18">
        <f>Assumptions!B29*(1+B5)</f>
        <v>7374366495.764418</v>
      </c>
      <c r="C6" s="18">
        <f>B6*(1+C5)</f>
        <v>6510220100.094704</v>
      </c>
      <c r="D6" s="18">
        <f>C6*(1+D5)</f>
        <v>5747336503.55192</v>
      </c>
      <c r="E6" s="18">
        <f>D6*(1+E5)</f>
        <v>5073849482.382308</v>
      </c>
      <c r="F6" s="18">
        <f>E6*(1+F5)</f>
        <v>4479283326.104389</v>
      </c>
    </row>
    <row r="7" spans="1:6" x14ac:dyDescent="0.25">
      <c r="A7" t="s">
        <v>5</v>
      </c>
      <c r="B7" s="10">
        <f>Assumptions!B7</f>
        <v>0.29569132497542305</v>
      </c>
      <c r="C7" s="10">
        <f>Assumptions!B7</f>
        <v>0.29569132497542305</v>
      </c>
      <c r="D7" s="10">
        <f>Assumptions!B7</f>
        <v>0.29569132497542305</v>
      </c>
      <c r="E7" s="10">
        <f>Assumptions!B7</f>
        <v>0.29569132497542305</v>
      </c>
      <c r="F7" s="10">
        <f>Assumptions!B7</f>
        <v>0.29569132497542305</v>
      </c>
    </row>
    <row r="8" spans="1:6" x14ac:dyDescent="0.25">
      <c r="A8" t="s">
        <v>44</v>
      </c>
      <c r="B8" s="18">
        <f>B6*B7</f>
        <v>2180536199.986948</v>
      </c>
      <c r="C8" s="18">
        <f>C6*C7</f>
        <v>1925015607.2786343</v>
      </c>
      <c r="D8" s="18">
        <f>D6*D7</f>
        <v>1699437545.8148825</v>
      </c>
      <c r="E8" s="18">
        <f>E6*E7</f>
        <v>1500293276.171489</v>
      </c>
      <c r="F8" s="18">
        <f>F6*F7</f>
        <v>1324485221.6361268</v>
      </c>
    </row>
    <row r="9" spans="1:6" x14ac:dyDescent="0.25">
      <c r="A9" t="s">
        <v>45</v>
      </c>
      <c r="B9" s="18">
        <f>B8*(1-Assumptions!B8)</f>
        <v>1750606617.5458772</v>
      </c>
      <c r="C9" s="18">
        <f>C8*(1-Assumptions!B8)</f>
        <v>1545466230.2791598</v>
      </c>
      <c r="D9" s="18">
        <f>D8*(1-Assumptions!B8)</f>
        <v>1364364697.92488</v>
      </c>
      <c r="E9" s="18">
        <f>E8*(1-Assumptions!B8)</f>
        <v>1204485088.3654735</v>
      </c>
      <c r="F9" s="18">
        <f>F8*(1-Assumptions!B8)</f>
        <v>1063340564.5142695</v>
      </c>
    </row>
    <row r="10" spans="1:6" x14ac:dyDescent="0.25">
      <c r="A10" t="s">
        <v>46</v>
      </c>
      <c r="B10" s="18">
        <f>B6*Assumptions!B9</f>
        <v>2226291707.978344</v>
      </c>
      <c r="C10" s="18">
        <f>C6*Assumptions!B9</f>
        <v>1965409372.3548234</v>
      </c>
      <c r="D10" s="18">
        <f>D6*Assumptions!B9</f>
        <v>1735097870.1923802</v>
      </c>
      <c r="E10" s="18">
        <f>E6*Assumptions!B9</f>
        <v>1531774836.068414</v>
      </c>
      <c r="F10" s="18">
        <f>F6*Assumptions!B9</f>
        <v>1352277694.9477005</v>
      </c>
    </row>
    <row r="11" spans="1:6" x14ac:dyDescent="0.25">
      <c r="A11" t="s">
        <v>47</v>
      </c>
      <c r="B11" s="18">
        <f>-B6*Assumptions!B10</f>
        <v>-2247534584.49117</v>
      </c>
      <c r="C11" s="18">
        <f>-C6*Assumptions!B10</f>
        <v>-1984162956.3727946</v>
      </c>
      <c r="D11" s="18">
        <f>-D6*Assumptions!B10</f>
        <v>-1751653863.129907</v>
      </c>
      <c r="E11" s="18">
        <f>-E6*Assumptions!B10</f>
        <v>-1546390757.0510256</v>
      </c>
      <c r="F11" s="18">
        <f>-F6*Assumptions!B10</f>
        <v>-1365180886.3766928</v>
      </c>
    </row>
    <row r="12" spans="1:6" x14ac:dyDescent="0.25">
      <c r="A12" t="s">
        <v>48</v>
      </c>
      <c r="B12" s="18">
        <f>-(B6-Assumptions!B29)*Assumptions!B11</f>
        <v>71929775.07829633</v>
      </c>
      <c r="C12" s="18">
        <f>-(C6-B6)*Assumptions!B11</f>
        <v>63500867.197064154</v>
      </c>
      <c r="D12" s="18">
        <f>-(D6-C6)*Assumptions!B11</f>
        <v>56059679.46361453</v>
      </c>
      <c r="E12" s="18">
        <f>-(E6-D6)*Assumptions!B11</f>
        <v>49490468.40274489</v>
      </c>
      <c r="F12" s="18">
        <f>-(F6-E6)*Assumptions!B11</f>
        <v>43691053.644229464</v>
      </c>
    </row>
    <row r="13" spans="1:6" x14ac:dyDescent="0.25">
      <c r="A13" s="19" t="s">
        <v>49</v>
      </c>
      <c r="B13" s="20">
        <f>B9+B10+B11+B12</f>
        <v>1801293516.111348</v>
      </c>
      <c r="C13" s="20">
        <f>C9+C10+C11+C12</f>
        <v>1590213513.4582527</v>
      </c>
      <c r="D13" s="20">
        <f>D9+D10+D11+D12</f>
        <v>1403868384.4509676</v>
      </c>
      <c r="E13" s="20">
        <f>E9+E10+E11+E12</f>
        <v>1239359635.7856069</v>
      </c>
      <c r="F13" s="20">
        <f>F9+F10+F11+F12</f>
        <v>1094128426.7295065</v>
      </c>
    </row>
    <row r="14" spans="1:6" x14ac:dyDescent="0.25">
      <c r="A14" t="s">
        <v>50</v>
      </c>
      <c r="B14" s="21">
        <f>1/(1+Assumptions!$B$26)^(1-0.5*Assumptions!$B$32)</f>
        <v>0.9624178323495719</v>
      </c>
      <c r="C14" s="21">
        <f>1/(1+Assumptions!$B$26)^(2-0.5*Assumptions!$B$32)</f>
        <v>0.891437673244754</v>
      </c>
      <c r="D14" s="21">
        <f>1/(1+Assumptions!$B$26)^(3-0.5*Assumptions!$B$32)</f>
        <v>0.8256924368701658</v>
      </c>
      <c r="E14" s="21">
        <f>1/(1+Assumptions!$B$26)^(4-0.5*Assumptions!$B$32)</f>
        <v>0.7647960376444691</v>
      </c>
      <c r="F14" s="21">
        <f>1/(1+Assumptions!$B$26)^(5-0.5*Assumptions!$B$32)</f>
        <v>0.7083908645376796</v>
      </c>
    </row>
    <row r="15" spans="1:6" x14ac:dyDescent="0.25">
      <c r="A15" s="19" t="s">
        <v>51</v>
      </c>
      <c r="B15" s="20">
        <f>B13*B14</f>
        <v>1733597001.2012222</v>
      </c>
      <c r="C15" s="20">
        <f>C13*C14</f>
        <v>1417576234.39959</v>
      </c>
      <c r="D15" s="20">
        <f>D13*D14</f>
        <v>1159163507.4023023</v>
      </c>
      <c r="E15" s="20">
        <f>E13*E14</f>
        <v>947857338.6653246</v>
      </c>
      <c r="F15" s="20">
        <f>F13*F14</f>
        <v>775070582.1261663</v>
      </c>
    </row>
    <row r="17" spans="1:2" x14ac:dyDescent="0.25">
      <c r="A17" s="22" t="s">
        <v>52</v>
      </c>
      <c r="B17" s="23">
        <f>SUM(B15:F15)</f>
        <v>6033264663.794605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1094128426.7295065</v>
      </c>
    </row>
    <row r="5" spans="1:2" x14ac:dyDescent="0.25">
      <c r="A5" t="s">
        <v>56</v>
      </c>
      <c r="B5" s="18">
        <f>IF(Assumptions!$B$33=0,B4,B4-Forecast!F11-Forecast!F10-Forecast!F12)</f>
        <v>1078623879.0426495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0.31397424452386385</v>
      </c>
    </row>
    <row r="7" spans="1:2" x14ac:dyDescent="0.25">
      <c r="A7" t="s">
        <v>58</v>
      </c>
      <c r="B7" s="18">
        <f>-MAX(Forecast!F9,0)*B6</f>
        <v>-338660117.5478154</v>
      </c>
    </row>
    <row r="8" spans="1:2" x14ac:dyDescent="0.25">
      <c r="A8" t="s">
        <v>59</v>
      </c>
      <c r="B8" s="18">
        <f>IF(OR(Assumptions!$B$33=0,Assumptions!B12&lt;=0),B5,MAX(B5+B7,0))</f>
        <v>739963761.4948342</v>
      </c>
    </row>
    <row r="9" spans="1:2" x14ac:dyDescent="0.25">
      <c r="A9" t="s">
        <v>60</v>
      </c>
      <c r="B9" s="18">
        <f>B8*(1+Assumptions!B12)/(Assumptions!B26-Assumptions!B12)</f>
        <v>13885064819.460428</v>
      </c>
    </row>
    <row r="10" spans="1:2" x14ac:dyDescent="0.25">
      <c r="A10" t="s">
        <v>61</v>
      </c>
      <c r="B10" s="18">
        <f>B9/(1+Assumptions!B26)^(5-0.5*Assumptions!B32)</f>
        <v>9836053071.619293</v>
      </c>
    </row>
    <row r="11" spans="1:2" x14ac:dyDescent="0.25">
      <c r="A11" t="s">
        <v>62</v>
      </c>
      <c r="B11" s="18">
        <f>Forecast!B17+B10</f>
        <v>15869317735.413898</v>
      </c>
    </row>
    <row r="12" spans="1:2" x14ac:dyDescent="0.25">
      <c r="A12" t="s">
        <v>63</v>
      </c>
      <c r="B12" s="18">
        <f>-Assumptions!B30</f>
        <v>-7747657000</v>
      </c>
    </row>
    <row r="13" spans="1:2" x14ac:dyDescent="0.25">
      <c r="A13" t="s">
        <v>64</v>
      </c>
      <c r="B13" s="18">
        <f>B11+B12</f>
        <v>8121660735.413898</v>
      </c>
    </row>
    <row r="14" spans="1:2" x14ac:dyDescent="0.25">
      <c r="A14" s="19" t="s">
        <v>65</v>
      </c>
      <c r="B14" s="24">
        <f>B13/Assumptions!B31</f>
        <v>13.190574136192275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2676762916.583827</v>
      </c>
    </row>
    <row r="18" spans="1:2" x14ac:dyDescent="0.25">
      <c r="A18" t="s">
        <v>60</v>
      </c>
      <c r="B18" s="18">
        <f>B17*Assumptions!B13</f>
        <v>18603801384.472286</v>
      </c>
    </row>
    <row r="19" spans="1:2" x14ac:dyDescent="0.25">
      <c r="A19" t="s">
        <v>61</v>
      </c>
      <c r="B19" s="18">
        <f>B18/(1+Assumptions!B26)^(5-0.5*Assumptions!B32)</f>
        <v>13178762946.433603</v>
      </c>
    </row>
    <row r="20" spans="1:2" x14ac:dyDescent="0.25">
      <c r="A20" t="s">
        <v>62</v>
      </c>
      <c r="B20" s="18">
        <f>Forecast!B17+B19</f>
        <v>19212027610.22821</v>
      </c>
    </row>
    <row r="21" spans="1:2" x14ac:dyDescent="0.25">
      <c r="A21" t="s">
        <v>63</v>
      </c>
      <c r="B21" s="18">
        <f>-Assumptions!B30</f>
        <v>-7747657000</v>
      </c>
    </row>
    <row r="22" spans="1:2" x14ac:dyDescent="0.25">
      <c r="A22" t="s">
        <v>64</v>
      </c>
      <c r="B22" s="18">
        <f>B20+B21</f>
        <v>11464370610.22821</v>
      </c>
    </row>
    <row r="23" spans="1:2" x14ac:dyDescent="0.25">
      <c r="A23" s="19" t="s">
        <v>65</v>
      </c>
      <c r="B23" s="25">
        <f>B22/Assumptions!B31</f>
        <v>18.619545359683443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50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13.190574136192275</v>
      </c>
    </row>
    <row r="29" spans="1:2" x14ac:dyDescent="0.25">
      <c r="A29" s="19" t="s">
        <v>73</v>
      </c>
      <c r="B29" s="12">
        <f>B28/B26-1</f>
        <v>-0.7361885172761544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0.059624</v>
      </c>
      <c r="B5" s="31">
        <v>20.592321300629187</v>
      </c>
      <c r="C5" s="31">
        <v>20.705523468463017</v>
      </c>
      <c r="D5" s="31">
        <v>20.818725636296847</v>
      </c>
      <c r="E5" s="31">
        <v>20.931927804130684</v>
      </c>
      <c r="F5" s="31">
        <v>21.045129971964506</v>
      </c>
    </row>
    <row r="6" spans="1:6" x14ac:dyDescent="0.25">
      <c r="A6" s="30">
        <v>0.069624</v>
      </c>
      <c r="B6" s="31">
        <v>16.27518216827806</v>
      </c>
      <c r="C6" s="31">
        <v>16.368112993661562</v>
      </c>
      <c r="D6" s="31">
        <v>16.46104381904507</v>
      </c>
      <c r="E6" s="31">
        <v>16.55397464442858</v>
      </c>
      <c r="F6" s="31">
        <v>16.646905469812072</v>
      </c>
    </row>
    <row r="7" spans="1:6" x14ac:dyDescent="0.25">
      <c r="A7" s="30">
        <v>0.079624</v>
      </c>
      <c r="B7" s="31">
        <v>13.034824581929715</v>
      </c>
      <c r="C7" s="31">
        <v>13.112751681596361</v>
      </c>
      <c r="D7" s="32">
        <v>13.190678781262998</v>
      </c>
      <c r="E7" s="31">
        <v>13.268605880929636</v>
      </c>
      <c r="F7" s="31">
        <v>13.346532980596274</v>
      </c>
    </row>
    <row r="8" spans="1:6" x14ac:dyDescent="0.25">
      <c r="A8" s="30">
        <v>0.089624</v>
      </c>
      <c r="B8" s="31">
        <v>10.511084192029372</v>
      </c>
      <c r="C8" s="31">
        <v>10.57750277342604</v>
      </c>
      <c r="D8" s="31">
        <v>10.643921354822702</v>
      </c>
      <c r="E8" s="31">
        <v>10.71033993621937</v>
      </c>
      <c r="F8" s="31">
        <v>10.776758517616035</v>
      </c>
    </row>
    <row r="9" spans="1:6" x14ac:dyDescent="0.25">
      <c r="A9" s="30">
        <v>0.099624</v>
      </c>
      <c r="B9" s="31">
        <v>8.488393597470262</v>
      </c>
      <c r="C9" s="31">
        <v>8.5457386520068</v>
      </c>
      <c r="D9" s="31">
        <v>8.603083706543337</v>
      </c>
      <c r="E9" s="31">
        <v>8.660428761079874</v>
      </c>
      <c r="F9" s="31">
        <v>8.717773815616411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8353217000</v>
      </c>
      <c r="C5" s="18">
        <v>5222192000</v>
      </c>
      <c r="D5" s="18">
        <v>5069982000</v>
      </c>
      <c r="E5" s="18">
        <v>12140621000</v>
      </c>
      <c r="F5" s="8" t="s">
        <v>84</v>
      </c>
    </row>
    <row r="6" spans="1:6" x14ac:dyDescent="0.25">
      <c r="A6" t="s">
        <v>44</v>
      </c>
      <c r="B6" s="18">
        <v>3014406000</v>
      </c>
      <c r="C6" s="18">
        <v>276922000</v>
      </c>
      <c r="D6" s="18">
        <v>658599000</v>
      </c>
      <c r="E6" s="18">
        <v>7757469000</v>
      </c>
      <c r="F6" s="8" t="s">
        <v>85</v>
      </c>
    </row>
    <row r="7" spans="1:6" x14ac:dyDescent="0.25">
      <c r="A7" t="s">
        <v>86</v>
      </c>
      <c r="B7" s="18">
        <v>2600390000</v>
      </c>
      <c r="C7" s="18">
        <v>2162350000</v>
      </c>
      <c r="D7" s="18">
        <v>1749085000</v>
      </c>
      <c r="E7" s="18">
        <v>1665962000</v>
      </c>
      <c r="F7" s="8" t="s">
        <v>87</v>
      </c>
    </row>
    <row r="8" spans="1:6" x14ac:dyDescent="0.25">
      <c r="A8" t="s">
        <v>88</v>
      </c>
      <c r="B8" s="18">
        <v>2288425000</v>
      </c>
      <c r="C8" s="18">
        <v>2253709000</v>
      </c>
      <c r="D8" s="18">
        <v>2019037000</v>
      </c>
      <c r="E8" s="18">
        <v>1400443000</v>
      </c>
      <c r="F8" s="8" t="s">
        <v>89</v>
      </c>
    </row>
    <row r="9" spans="1:6" x14ac:dyDescent="0.25">
      <c r="A9" t="s">
        <v>90</v>
      </c>
      <c r="B9" s="18">
        <v>230080000</v>
      </c>
      <c r="C9" s="18">
        <v>281805000</v>
      </c>
      <c r="D9" s="18">
        <v>-383632000</v>
      </c>
      <c r="E9" s="18">
        <v>-99229000</v>
      </c>
      <c r="F9" s="8" t="s">
        <v>91</v>
      </c>
    </row>
    <row r="10" spans="1:6" x14ac:dyDescent="0.25">
      <c r="A10" t="s">
        <v>92</v>
      </c>
      <c r="B10" s="18">
        <v>7858452000</v>
      </c>
      <c r="C10" s="18">
        <v>9366055000</v>
      </c>
      <c r="D10" s="18">
        <v>5841493000</v>
      </c>
      <c r="E10" s="18">
        <v>5714414000</v>
      </c>
      <c r="F10" s="8" t="s">
        <v>93</v>
      </c>
    </row>
    <row r="11" spans="1:6" x14ac:dyDescent="0.25">
      <c r="A11" t="s">
        <v>94</v>
      </c>
      <c r="B11" s="18">
        <v>110795000</v>
      </c>
      <c r="C11" s="18">
        <v>202093000</v>
      </c>
      <c r="D11" s="18">
        <v>80977000</v>
      </c>
      <c r="E11" s="18">
        <v>1458644000</v>
      </c>
      <c r="F11" s="8" t="s">
        <v>95</v>
      </c>
    </row>
    <row r="12" spans="1:6" x14ac:dyDescent="0.25">
      <c r="A12" t="s">
        <v>32</v>
      </c>
      <c r="B12" s="34">
        <v>615717000</v>
      </c>
      <c r="C12" s="34">
        <v>514593000</v>
      </c>
      <c r="D12" s="34">
        <v>413224000</v>
      </c>
      <c r="E12" s="34">
        <v>406495000</v>
      </c>
      <c r="F12" s="8" t="s">
        <v>96</v>
      </c>
    </row>
    <row r="15" spans="1:1" x14ac:dyDescent="0.25">
      <c r="A15" s="19" t="s">
        <v>97</v>
      </c>
    </row>
    <row r="17" spans="1:1" x14ac:dyDescent="0.25">
      <c r="A17" s="35" t="s">
        <v>98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2026-09-19T00:07:50Z</dcterms:modified>
</cp:coreProperties>
</file>