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<sst xmlns="http://schemas.openxmlformats.org/spreadsheetml/2006/main" count="119" uniqueCount="106">
  <si>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EQT Corporation (EQT)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</si>
  <si>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</si>
  <si>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</si>
  <si>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</si>
  <si>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</si>
  <si>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</si>
  <si>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</si>
  <si>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</si>
  <si>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</si>
  <si>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</si>
  <si>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</si>
  <si>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</si>
  <si>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</si>
  <si>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</si>
  <si>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</si>
  <si>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</si>
  <si>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</si>
  <si>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</si>
  <si>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</si>
  <si>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</si>
  <si>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</si>
  <si>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</si>
  <si>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</si>
  <si>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</si>
  <si>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+ 55bp, the spread for a AA rating at 6.9x interest cover. Book interest / average debt was lower, at 5.1%.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</si>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</sst>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0.08921454931674822</v>
      </c>
    </row>
    <row r="7" spans="1:2" x14ac:dyDescent="0.25">
      <c r="A7" t="s">
        <v>4</v>
      </c>
      <c r="B7" s="5">
        <v>0.29569132497542305</v>
      </c>
    </row>
    <row r="8" spans="1:2" x14ac:dyDescent="0.25">
      <c r="A8" t="s">
        <v>5</v>
      </c>
      <c r="B8" s="5">
        <v>0.19716690896653966</v>
      </c>
    </row>
    <row r="9" spans="1:2" x14ac:dyDescent="0.25">
      <c r="A9" t="s">
        <v>6</v>
      </c>
      <c r="B9" s="5">
        <v>0.30189599462639255</v>
      </c>
    </row>
    <row r="10" spans="1:3" x14ac:dyDescent="0.25">
      <c r="A10" t="s">
        <v>7</v>
      </c>
      <c r="B10" s="5">
        <v>0.3047766321055614</v>
      </c>
      <c r="C10" s="6" t="s">
        <v>8</v>
      </c>
    </row>
    <row r="11" spans="1:2" x14ac:dyDescent="0.25">
      <c r="A11" t="s">
        <v>9</v>
      </c>
      <c r="B11" s="5">
        <v>-0.0029343303750019862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7.549799603761206</v>
      </c>
    </row>
    <row r="14" spans="1:3" x14ac:dyDescent="0.25">
      <c r="A14" t="s">
        <v>12</v>
      </c>
      <c r="B14" s="5">
        <v>0.07441199294009411</v>
      </c>
      <c r="C14" s="6" t="s">
        <v>13</v>
      </c>
    </row>
    <row r="15" spans="1:3" x14ac:dyDescent="0.25">
      <c r="A15" t="s">
        <v>14</v>
      </c>
      <c r="B15" s="5">
        <v>0.2976460452933892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0.76684</v>
      </c>
      <c r="C19" s="6" t="s">
        <v>21</v>
      </c>
    </row>
    <row r="20" spans="1:2" x14ac:dyDescent="0.25">
      <c r="A20" t="s">
        <v>22</v>
      </c>
      <c r="B20" s="9">
        <f>B17+B19*B18</f>
        <v>0.081377332</v>
      </c>
    </row>
    <row r="21" spans="1:3" x14ac:dyDescent="0.25">
      <c r="A21" t="s">
        <v>23</v>
      </c>
      <c r="B21" s="5">
        <v>0.05444</v>
      </c>
      <c r="C21" s="6" t="s">
        <v>24</v>
      </c>
    </row>
    <row r="22" spans="1:2" x14ac:dyDescent="0.25">
      <c r="A22" t="s">
        <v>25</v>
      </c>
      <c r="B22" s="10">
        <v>34642927616</v>
      </c>
    </row>
    <row r="23" spans="1:2" x14ac:dyDescent="0.25">
      <c r="A23" t="s">
        <v>26</v>
      </c>
      <c r="B23" s="10">
        <v>7858452000</v>
      </c>
    </row>
    <row r="24" spans="1:2" x14ac:dyDescent="0.25">
      <c r="A24" t="s">
        <v>27</v>
      </c>
      <c r="B24" s="9">
        <f>B22/(B22+B23)</f>
        <v>0.8151012491594127</v>
      </c>
    </row>
    <row r="25" spans="1:2" x14ac:dyDescent="0.25">
      <c r="A25" t="s">
        <v>28</v>
      </c>
      <c r="B25" s="9">
        <f>1-B24</f>
        <v>0.18489875084058727</v>
      </c>
    </row>
    <row r="26" spans="1:2" x14ac:dyDescent="0.25">
      <c r="A26" t="s">
        <v>29</v>
      </c>
      <c r="B26" s="11">
        <f>B24*B20+B25*B21*(1-B8)</f>
        <v>0.07441199294009411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8353217000</v>
      </c>
      <c r="C29" s="6" t="s">
        <v>32</v>
      </c>
    </row>
    <row r="30" spans="1:2" x14ac:dyDescent="0.25">
      <c r="A30" t="s">
        <v>33</v>
      </c>
      <c r="B30" s="10">
        <v>7747657000</v>
      </c>
    </row>
    <row r="31" spans="1:2" x14ac:dyDescent="0.25">
      <c r="A31" t="s">
        <v>34</v>
      </c>
      <c r="B31" s="12">
        <v>615717000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0.08921454931674822</v>
      </c>
      <c r="C5" s="5">
        <v>0.30985209430539773</v>
      </c>
      <c r="D5" s="5">
        <v>0.27424558251722303</v>
      </c>
      <c r="E5" s="5">
        <v>0.2386390707290483</v>
      </c>
      <c r="F5" s="5">
        <v>0.20303255894087358</v>
      </c>
      <c r="G5" s="5">
        <v>0.16742604715269888</v>
      </c>
      <c r="H5" s="5">
        <v>0.13181953536452418</v>
      </c>
      <c r="I5" s="5">
        <v>0.09621302357634945</v>
      </c>
      <c r="J5" s="5">
        <v>0.06060651178817472</v>
      </c>
      <c r="K5" s="5">
        <v>0.025000000000000022</v>
      </c>
    </row>
    <row r="6" spans="1:11" x14ac:dyDescent="0.25">
      <c r="A6" t="s">
        <v>50</v>
      </c>
      <c r="B6" s="18">
        <f>Assumptions!B29*(1+B5)</f>
        <v>9098445490</v>
      </c>
      <c r="C6" s="18">
        <f>B6*(1+C5)</f>
        <v>11917617880</v>
      </c>
      <c r="D6" s="18">
        <f>C6*(1+D5)</f>
        <v>15185971937.718271</v>
      </c>
      <c r="E6" s="18">
        <f>D6*(1+E5)</f>
        <v>18809938169.052765</v>
      </c>
      <c r="F6" s="18">
        <f>E6*(1+F5)</f>
        <v>22628968049.035156</v>
      </c>
      <c r="G6" s="18">
        <f>F6*(1+G5)</f>
        <v>26417646720.629833</v>
      </c>
      <c r="H6" s="18">
        <f>G6*(1+H5)</f>
        <v>29900008636.767403</v>
      </c>
      <c r="I6" s="18">
        <f>H6*(1+I5)</f>
        <v>32776778872.669758</v>
      </c>
      <c r="J6" s="18">
        <f>I6*(1+J5)</f>
        <v>34763265107.79461</v>
      </c>
      <c r="K6" s="18">
        <f>J6*(1+K5)</f>
        <v>35632346735.48947</v>
      </c>
    </row>
    <row r="7" spans="1:11" x14ac:dyDescent="0.25">
      <c r="A7" t="s">
        <v>4</v>
      </c>
      <c r="B7" s="9">
        <f>Assumptions!B7</f>
        <v>0.29569132497542305</v>
      </c>
      <c r="C7" s="9">
        <f>Assumptions!B7</f>
        <v>0.29569132497542305</v>
      </c>
      <c r="D7" s="9">
        <f>Assumptions!B7</f>
        <v>0.29569132497542305</v>
      </c>
      <c r="E7" s="9">
        <f>Assumptions!B7</f>
        <v>0.29569132497542305</v>
      </c>
      <c r="F7" s="9">
        <f>Assumptions!B7</f>
        <v>0.29569132497542305</v>
      </c>
      <c r="G7" s="9">
        <f>Assumptions!B7</f>
        <v>0.29569132497542305</v>
      </c>
      <c r="H7" s="9">
        <f>Assumptions!B7</f>
        <v>0.29569132497542305</v>
      </c>
      <c r="I7" s="9">
        <f>Assumptions!B7</f>
        <v>0.29569132497542305</v>
      </c>
      <c r="J7" s="9">
        <f>Assumptions!B7</f>
        <v>0.29569132497542305</v>
      </c>
      <c r="K7" s="9">
        <f>Assumptions!B7</f>
        <v>0.29569132497542305</v>
      </c>
    </row>
    <row r="8" spans="1:11" x14ac:dyDescent="0.25">
      <c r="A8" t="s">
        <v>51</v>
      </c>
      <c r="B8" s="18">
        <f>B6*B7</f>
        <v>2690331402.1547623</v>
      </c>
      <c r="C8" s="18">
        <f>C6*C7</f>
        <v>3523936221.4879923</v>
      </c>
      <c r="D8" s="18">
        <f>D6*D7</f>
        <v>4490360163.303508</v>
      </c>
      <c r="E8" s="18">
        <f>E6*E7</f>
        <v>5561935539.912995</v>
      </c>
      <c r="F8" s="18">
        <f>F6*F7</f>
        <v>6691189545.245719</v>
      </c>
      <c r="G8" s="18">
        <f>G6*G7</f>
        <v>7811468961.5556755</v>
      </c>
      <c r="H8" s="18">
        <f>H6*H7</f>
        <v>8841173170.582346</v>
      </c>
      <c r="I8" s="18">
        <f>I6*I7</f>
        <v>9691809173.286175</v>
      </c>
      <c r="J8" s="18">
        <f>J6*J7</f>
        <v>10279195920.19568</v>
      </c>
      <c r="K8" s="18">
        <f>K6*K7</f>
        <v>10536175818.200573</v>
      </c>
    </row>
    <row r="9" spans="1:11" x14ac:dyDescent="0.25">
      <c r="A9" t="s">
        <v>52</v>
      </c>
      <c r="B9" s="18">
        <f>B8*(1-Assumptions!B8)</f>
        <v>2159887075.496291</v>
      </c>
      <c r="C9" s="18">
        <f>C8*(1-Assumptions!B8)</f>
        <v>2829132609.3019776</v>
      </c>
      <c r="D9" s="18">
        <f>D8*(1-Assumptions!B8)</f>
        <v>3605009729.758469</v>
      </c>
      <c r="E9" s="18">
        <f>E8*(1-Assumptions!B8)</f>
        <v>4465305901.637208</v>
      </c>
      <c r="F9" s="18">
        <f>F8*(1-Assumptions!B8)</f>
        <v>5371908385.300394</v>
      </c>
      <c r="G9" s="18">
        <f>G8*(1-Assumptions!B8)</f>
        <v>6271305771.917678</v>
      </c>
      <c r="H9" s="18">
        <f>H8*(1-Assumptions!B8)</f>
        <v>7097986384.900723</v>
      </c>
      <c r="I9" s="18">
        <f>I8*(1-Assumptions!B8)</f>
        <v>7780905116.295786</v>
      </c>
      <c r="J9" s="18">
        <f>J8*(1-Assumptions!B8)</f>
        <v>8252478633.949233</v>
      </c>
      <c r="K9" s="18">
        <f>K8*(1-Assumptions!B8)</f>
        <v>8458790599.797964</v>
      </c>
    </row>
    <row r="10" spans="1:11" x14ac:dyDescent="0.25">
      <c r="A10" t="s">
        <v>53</v>
      </c>
      <c r="B10" s="18">
        <f>B6*Assumptions!B9</f>
        <v>2746784250.7575655</v>
      </c>
      <c r="C10" s="18">
        <f>C6*Assumptions!B9</f>
        <v>3597881103.45988</v>
      </c>
      <c r="D10" s="18">
        <f>D6*Assumptions!B9</f>
        <v>4584584102.505943</v>
      </c>
      <c r="E10" s="18">
        <f>E6*Assumptions!B9</f>
        <v>5678644992.407129</v>
      </c>
      <c r="F10" s="18">
        <f>F6*Assumptions!B9</f>
        <v>6831594816.532327</v>
      </c>
      <c r="G10" s="18">
        <f>G6*Assumptions!B9</f>
        <v>7975381732.413201</v>
      </c>
      <c r="H10" s="18">
        <f>H6*Assumptions!B9</f>
        <v>9026692846.734623</v>
      </c>
      <c r="I10" s="18">
        <f>I6*Assumptions!B9</f>
        <v>9895178258.413965</v>
      </c>
      <c r="J10" s="18">
        <f>J6*Assumptions!B9</f>
        <v>10494890496.178621</v>
      </c>
      <c r="K10" s="18">
        <f>K6*Assumptions!B9</f>
        <v>10757262758.583086</v>
      </c>
    </row>
    <row r="11" spans="1:11" x14ac:dyDescent="0.25">
      <c r="A11" t="s">
        <v>54</v>
      </c>
      <c r="B11" s="18">
        <f>-B6*B19</f>
        <v>-2772993573.838234</v>
      </c>
      <c r="C11" s="18">
        <f>-C6*C19</f>
        <v>-3729897882.8998213</v>
      </c>
      <c r="D11" s="18">
        <f>-D6*D19</f>
        <v>-4877282418.623538</v>
      </c>
      <c r="E11" s="18">
        <f>-E6*E19</f>
        <v>-6195374041.391602</v>
      </c>
      <c r="F11" s="18">
        <f>-F6*F19</f>
        <v>-7638722025.478502</v>
      </c>
      <c r="G11" s="18">
        <f>-G6*G19</f>
        <v>-9134183475.461262</v>
      </c>
      <c r="H11" s="18">
        <f>-H6*H19</f>
        <v>-10583331970.10882</v>
      </c>
      <c r="I11" s="18">
        <f>-I6*I19</f>
        <v>-11870251348.862604</v>
      </c>
      <c r="J11" s="18">
        <f>-J6*J19</f>
        <v>-12874613736.68313</v>
      </c>
      <c r="K11" s="18">
        <f>-K6*K19</f>
        <v>-13488550636.105223</v>
      </c>
    </row>
    <row r="12" spans="1:11" x14ac:dyDescent="0.25">
      <c r="A12" t="s">
        <v>55</v>
      </c>
      <c r="B12" s="18">
        <f>-(B6-Assumptions!B29)*Assumptions!B11</f>
        <v>2186746.594523864</v>
      </c>
      <c r="C12" s="18">
        <f>-(C6-B6)*Assumptions!B11</f>
        <v>8272383.176343946</v>
      </c>
      <c r="D12" s="18">
        <f>-(D6-C6)*Assumptions!B11</f>
        <v>9590430.587823719</v>
      </c>
      <c r="E12" s="18">
        <f>-(E6-D6)*Assumptions!B11</f>
        <v>10633914.19058628</v>
      </c>
      <c r="F12" s="18">
        <f>-(F6-E6)*Assumptions!B11</f>
        <v>11206295.379872521</v>
      </c>
      <c r="G12" s="18">
        <f>-(G6-F6)*Assumptions!B11</f>
        <v>11117234.907182436</v>
      </c>
      <c r="H12" s="18">
        <f>-(H6-G6)*Assumptions!B11</f>
        <v>10218400.34727259</v>
      </c>
      <c r="I12" s="18">
        <f>-(I6-H6)*Assumptions!B11</f>
        <v>8441394.285109911</v>
      </c>
      <c r="J12" s="18">
        <f>-(J6-I6)*Assumptions!B11</f>
        <v>5829006.899250189</v>
      </c>
      <c r="K12" s="18">
        <f>-(K6-J6)*Assumptions!B11</f>
        <v>2550172.618501202</v>
      </c>
    </row>
    <row r="13" spans="1:11" x14ac:dyDescent="0.25">
      <c r="A13" s="19" t="s">
        <v>56</v>
      </c>
      <c r="B13" s="20">
        <f>B9+B10+B11+B12</f>
        <v>2135864499.0101466</v>
      </c>
      <c r="C13" s="20">
        <f>C9+C10+C11+C12</f>
        <v>2705388213.0383806</v>
      </c>
      <c r="D13" s="20">
        <f>D9+D10+D11+D12</f>
        <v>3321901844.228698</v>
      </c>
      <c r="E13" s="20">
        <f>E9+E10+E11+E12</f>
        <v>3959210766.8433228</v>
      </c>
      <c r="F13" s="20">
        <f>F9+F10+F11+F12</f>
        <v>4575987471.734092</v>
      </c>
      <c r="G13" s="20">
        <f>G9+G10+G11+G12</f>
        <v>5123621263.7768</v>
      </c>
      <c r="H13" s="20">
        <f>H9+H10+H11+H12</f>
        <v>5551565661.873798</v>
      </c>
      <c r="I13" s="20">
        <f>I9+I10+I11+I12</f>
        <v>5814273420.1322565</v>
      </c>
      <c r="J13" s="20">
        <f>J9+J10+J11+J12</f>
        <v>5878584400.343973</v>
      </c>
      <c r="K13" s="20">
        <f>K9+K10+K11+K12</f>
        <v>5730052894.894329</v>
      </c>
    </row>
    <row r="14" spans="1:11" x14ac:dyDescent="0.25">
      <c r="A14" t="s">
        <v>57</v>
      </c>
      <c r="B14" s="21">
        <f>1/(1+Assumptions!$B$26)^(1-0.5*Assumptions!$B$32)</f>
        <v>0.9647495313779515</v>
      </c>
      <c r="C14" s="21">
        <f>1/(1+Assumptions!$B$26)^(2-0.5*Assumptions!$B$32)</f>
        <v>0.8979325786730519</v>
      </c>
      <c r="D14" s="21">
        <f>1/(1+Assumptions!$B$26)^(3-0.5*Assumptions!$B$32)</f>
        <v>0.8357432573103433</v>
      </c>
      <c r="E14" s="21">
        <f>1/(1+Assumptions!$B$26)^(4-0.5*Assumptions!$B$32)</f>
        <v>0.7778610652170389</v>
      </c>
      <c r="F14" s="21">
        <f>1/(1+Assumptions!$B$26)^(5-0.5*Assumptions!$B$32)</f>
        <v>0.7239876977624262</v>
      </c>
      <c r="G14" s="21">
        <f>1/(1+Assumptions!$B$26)^(6-0.5*Assumptions!$B$32)</f>
        <v>0.6738455103998392</v>
      </c>
      <c r="H14" s="21">
        <f>1/(1+Assumptions!$B$26)^(7-0.5*Assumptions!$B$32)</f>
        <v>0.6271760877834978</v>
      </c>
      <c r="I14" s="21">
        <f>1/(1+Assumptions!$B$26)^(8-0.5*Assumptions!$B$32)</f>
        <v>0.5837389119859416</v>
      </c>
      <c r="J14" s="21">
        <f>1/(1+Assumptions!$B$26)^(9-0.5*Assumptions!$B$32)</f>
        <v>0.5433101229525171</v>
      </c>
      <c r="K14" s="21">
        <f>1/(1+Assumptions!$B$26)^(10-0.5*Assumptions!$B$32)</f>
        <v>0.5056813648047305</v>
      </c>
    </row>
    <row r="15" spans="1:11" x14ac:dyDescent="0.25">
      <c r="A15" s="19" t="s">
        <v>58</v>
      </c>
      <c r="B15" s="20">
        <f>B13*B14</f>
        <v>2060574274.5068421</v>
      </c>
      <c r="C15" s="20">
        <f>C13*C14</f>
        <v>2429256214.445233</v>
      </c>
      <c r="D15" s="20">
        <f>D13*D14</f>
        <v>2776257067.7609286</v>
      </c>
      <c r="E15" s="20">
        <f>E13*E14</f>
        <v>3079715904.5155163</v>
      </c>
      <c r="F15" s="20">
        <f>F13*F14</f>
        <v>3312958634.6504707</v>
      </c>
      <c r="G15" s="20">
        <f>G13*G14</f>
        <v>3452529185.585147</v>
      </c>
      <c r="H15" s="20">
        <f>H13*H14</f>
        <v>3481809232.887213</v>
      </c>
      <c r="I15" s="20">
        <f>I13*I14</f>
        <v>3394017640.256783</v>
      </c>
      <c r="J15" s="20">
        <f>J13*J14</f>
        <v>3193894413.337633</v>
      </c>
      <c r="K15" s="20">
        <f>K13*K14</f>
        <v>2897580968.2934613</v>
      </c>
    </row>
    <row r="17" spans="1:2" x14ac:dyDescent="0.25">
      <c r="A17" s="22" t="s">
        <v>59</v>
      </c>
      <c r="B17" s="23">
        <f>SUM(B15:K15)</f>
        <v>30078593536.23923</v>
      </c>
    </row>
    <row r="19" spans="1:11" x14ac:dyDescent="0.25">
      <c r="A19" t="s">
        <v>7</v>
      </c>
      <c r="B19" s="9">
        <f>Assumptions!$B$10+($B$20-Assumptions!$B$10)*0/9</f>
        <v>0.3047766321055614</v>
      </c>
      <c r="C19" s="9">
        <f>Assumptions!$B$10+($B$20-Assumptions!$B$10)*1/9</f>
        <v>0.31297344154315354</v>
      </c>
      <c r="D19" s="9">
        <f>Assumptions!$B$10+($B$20-Assumptions!$B$10)*2/9</f>
        <v>0.3211702509807457</v>
      </c>
      <c r="E19" s="9">
        <f>Assumptions!$B$10+($B$20-Assumptions!$B$10)*3/9</f>
        <v>0.32936706041833785</v>
      </c>
      <c r="F19" s="9">
        <f>Assumptions!$B$10+($B$20-Assumptions!$B$10)*4/9</f>
        <v>0.33756386985593</v>
      </c>
      <c r="G19" s="9">
        <f>Assumptions!$B$10+($B$20-Assumptions!$B$10)*5/9</f>
        <v>0.3457606792935222</v>
      </c>
      <c r="H19" s="9">
        <f>Assumptions!$B$10+($B$20-Assumptions!$B$10)*6/9</f>
        <v>0.3539574887311144</v>
      </c>
      <c r="I19" s="9">
        <f>Assumptions!$B$10+($B$20-Assumptions!$B$10)*7/9</f>
        <v>0.36215429816870653</v>
      </c>
      <c r="J19" s="9">
        <f>Assumptions!$B$10+($B$20-Assumptions!$B$10)*8/9</f>
        <v>0.3703511076062987</v>
      </c>
      <c r="K19" s="9">
        <f>Assumptions!$B$10+($B$20-Assumptions!$B$10)*9/9</f>
        <v>0.37854791704389085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0.37854791704389085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5730052894.894329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8580368165.425276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0.33596734897459907</v>
      </c>
    </row>
    <row r="7" spans="1:2" x14ac:dyDescent="0.25">
      <c r="A7" t="s">
        <v>66</v>
      </c>
      <c r="B7" s="18">
        <f>-MAX(B5,0)*B6</f>
        <v>-2882723545.763974</v>
      </c>
    </row>
    <row r="8" spans="1:2" x14ac:dyDescent="0.25">
      <c r="A8" t="s">
        <v>67</v>
      </c>
      <c r="B8" s="18">
        <f>IF(OR(Assumptions!$B$33=0,Assumptions!B12&lt;=0),B5,MAX(B5+B7,0))</f>
        <v>5697644619.661302</v>
      </c>
    </row>
    <row r="9" spans="1:2" x14ac:dyDescent="0.25">
      <c r="A9" t="s">
        <v>68</v>
      </c>
      <c r="B9" s="18">
        <f>B8*(1+Assumptions!B12)/(Assumptions!B26-Assumptions!B12)</f>
        <v>118191665376.32294</v>
      </c>
    </row>
    <row r="10" spans="1:2" x14ac:dyDescent="0.25">
      <c r="A10" t="s">
        <v>69</v>
      </c>
      <c r="B10" s="18">
        <f>B9/(1+Assumptions!B26)^(10-0.5*Assumptions!B32)</f>
        <v>59767322656.04299</v>
      </c>
    </row>
    <row r="11" spans="1:2" x14ac:dyDescent="0.25">
      <c r="A11" t="s">
        <v>70</v>
      </c>
      <c r="B11" s="18">
        <f>Forecast!B17+B10</f>
        <v>89845916192.28223</v>
      </c>
    </row>
    <row r="12" spans="1:2" x14ac:dyDescent="0.25">
      <c r="A12" t="s">
        <v>71</v>
      </c>
      <c r="B12" s="18">
        <f>-Assumptions!B30</f>
        <v>-7747657000</v>
      </c>
    </row>
    <row r="13" spans="1:2" x14ac:dyDescent="0.25">
      <c r="A13" t="s">
        <v>72</v>
      </c>
      <c r="B13" s="18">
        <f>B11+B12</f>
        <v>82098259192.28223</v>
      </c>
    </row>
    <row r="14" spans="1:2" x14ac:dyDescent="0.25">
      <c r="A14" s="19" t="s">
        <v>73</v>
      </c>
      <c r="B14" s="24">
        <f>B13/Assumptions!B31</f>
        <v>133.33765218807054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21293438576.78366</v>
      </c>
    </row>
    <row r="18" spans="1:2" x14ac:dyDescent="0.25">
      <c r="A18" t="s">
        <v>68</v>
      </c>
      <c r="B18" s="18">
        <f>B17*Assumptions!B13</f>
        <v>160761194129.71484</v>
      </c>
    </row>
    <row r="19" spans="1:2" x14ac:dyDescent="0.25">
      <c r="A19" t="s">
        <v>69</v>
      </c>
      <c r="B19" s="18">
        <f>B18/(1+Assumptions!B26)^(10-0.5*Assumptions!B32)</f>
        <v>81293940055.15242</v>
      </c>
    </row>
    <row r="20" spans="1:2" x14ac:dyDescent="0.25">
      <c r="A20" t="s">
        <v>70</v>
      </c>
      <c r="B20" s="18">
        <f>Forecast!B17+B19</f>
        <v>111372533591.39165</v>
      </c>
    </row>
    <row r="21" spans="1:2" x14ac:dyDescent="0.25">
      <c r="A21" t="s">
        <v>71</v>
      </c>
      <c r="B21" s="18">
        <f>-Assumptions!B30</f>
        <v>-7747657000</v>
      </c>
    </row>
    <row r="22" spans="1:2" x14ac:dyDescent="0.25">
      <c r="A22" t="s">
        <v>72</v>
      </c>
      <c r="B22" s="18">
        <f>B20+B21</f>
        <v>103624876591.39165</v>
      </c>
    </row>
    <row r="23" spans="1:2" x14ac:dyDescent="0.25">
      <c r="A23" s="19" t="s">
        <v>73</v>
      </c>
      <c r="B23" s="25">
        <f>B22/Assumptions!B31</f>
        <v>168.299521681863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55.38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133.33765218807054</v>
      </c>
    </row>
    <row r="29" spans="1:2" x14ac:dyDescent="0.25">
      <c r="A29" s="19" t="s">
        <v>81</v>
      </c>
      <c r="B29" s="11">
        <f>B28/B26-1</f>
        <v>1.4076860272313203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0.054412</v>
      </c>
      <c r="B5" s="31">
        <v>200.96186193609003</v>
      </c>
      <c r="C5" s="31">
        <v>198.11436428251977</v>
      </c>
      <c r="D5" s="31">
        <v>195.26686662894943</v>
      </c>
      <c r="E5" s="31">
        <v>192.41936897537914</v>
      </c>
      <c r="F5" s="31">
        <v>189.57187132180886</v>
      </c>
    </row>
    <row r="6" spans="1:6" x14ac:dyDescent="0.25">
      <c r="A6" s="30">
        <v>0.064412</v>
      </c>
      <c r="B6" s="31">
        <v>163.92284506271784</v>
      </c>
      <c r="C6" s="31">
        <v>161.65919683216353</v>
      </c>
      <c r="D6" s="31">
        <v>159.39554860160922</v>
      </c>
      <c r="E6" s="31">
        <v>157.13190037105494</v>
      </c>
      <c r="F6" s="31">
        <v>154.86825214050057</v>
      </c>
    </row>
    <row r="7" spans="1:6" x14ac:dyDescent="0.25">
      <c r="A7" s="30">
        <v>0.074412</v>
      </c>
      <c r="B7" s="31">
        <v>137.0287325625251</v>
      </c>
      <c r="C7" s="31">
        <v>135.18318444213608</v>
      </c>
      <c r="D7" s="32">
        <v>133.33763632174706</v>
      </c>
      <c r="E7" s="31">
        <v>131.49208820135803</v>
      </c>
      <c r="F7" s="31">
        <v>129.64654008096892</v>
      </c>
    </row>
    <row r="8" spans="1:6" x14ac:dyDescent="0.25">
      <c r="A8" s="30">
        <v>0.084412</v>
      </c>
      <c r="B8" s="31">
        <v>116.66278122385546</v>
      </c>
      <c r="C8" s="31">
        <v>115.12913521906091</v>
      </c>
      <c r="D8" s="31">
        <v>113.59548921426635</v>
      </c>
      <c r="E8" s="31">
        <v>112.06184320947182</v>
      </c>
      <c r="F8" s="31">
        <v>110.52819720467727</v>
      </c>
    </row>
    <row r="9" spans="1:6" x14ac:dyDescent="0.25">
      <c r="A9" s="30">
        <v>0.094412</v>
      </c>
      <c r="B9" s="31">
        <v>100.74136173073367</v>
      </c>
      <c r="C9" s="31">
        <v>99.44768744637763</v>
      </c>
      <c r="D9" s="31">
        <v>98.15401316202156</v>
      </c>
      <c r="E9" s="31">
        <v>96.86033887766554</v>
      </c>
      <c r="F9" s="31">
        <v>95.5666645933095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8353217000</v>
      </c>
      <c r="C5" s="18">
        <v>5222192000</v>
      </c>
      <c r="D5" s="18">
        <v>5069982000</v>
      </c>
      <c r="E5" s="18">
        <v>12140621000</v>
      </c>
      <c r="F5" s="6" t="s">
        <v>91</v>
      </c>
    </row>
    <row r="6" spans="1:6" x14ac:dyDescent="0.25">
      <c r="A6" t="s">
        <v>51</v>
      </c>
      <c r="B6" s="18">
        <v>3014406000</v>
      </c>
      <c r="C6" s="18">
        <v>276922000</v>
      </c>
      <c r="D6" s="18">
        <v>658599000</v>
      </c>
      <c r="E6" s="18">
        <v>7757469000</v>
      </c>
      <c r="F6" s="6" t="s">
        <v>92</v>
      </c>
    </row>
    <row r="7" spans="1:6" x14ac:dyDescent="0.25">
      <c r="A7" t="s">
        <v>93</v>
      </c>
      <c r="B7" s="18">
        <v>2600390000</v>
      </c>
      <c r="C7" s="18">
        <v>2162350000</v>
      </c>
      <c r="D7" s="18">
        <v>1749085000</v>
      </c>
      <c r="E7" s="18">
        <v>1665962000</v>
      </c>
      <c r="F7" s="6" t="s">
        <v>94</v>
      </c>
    </row>
    <row r="8" spans="1:6" x14ac:dyDescent="0.25">
      <c r="A8" t="s">
        <v>95</v>
      </c>
      <c r="B8" s="18">
        <v>2288425000</v>
      </c>
      <c r="C8" s="18">
        <v>2253709000</v>
      </c>
      <c r="D8" s="18">
        <v>2019037000</v>
      </c>
      <c r="E8" s="18">
        <v>1400443000</v>
      </c>
      <c r="F8" s="6" t="s">
        <v>96</v>
      </c>
    </row>
    <row r="9" spans="1:6" x14ac:dyDescent="0.25">
      <c r="A9" t="s">
        <v>97</v>
      </c>
      <c r="B9" s="18">
        <v>230080000</v>
      </c>
      <c r="C9" s="18">
        <v>281805000</v>
      </c>
      <c r="D9" s="18">
        <v>-383632000</v>
      </c>
      <c r="E9" s="18">
        <v>-99229000</v>
      </c>
      <c r="F9" s="6" t="s">
        <v>98</v>
      </c>
    </row>
    <row r="10" spans="1:6" x14ac:dyDescent="0.25">
      <c r="A10" t="s">
        <v>99</v>
      </c>
      <c r="B10" s="18">
        <v>7858452000</v>
      </c>
      <c r="C10" s="18">
        <v>9366055000</v>
      </c>
      <c r="D10" s="18">
        <v>5841493000</v>
      </c>
      <c r="E10" s="18">
        <v>5714414000</v>
      </c>
      <c r="F10" s="6" t="s">
        <v>100</v>
      </c>
    </row>
    <row r="11" spans="1:6" x14ac:dyDescent="0.25">
      <c r="A11" t="s">
        <v>101</v>
      </c>
      <c r="B11" s="18">
        <v>110795000</v>
      </c>
      <c r="C11" s="18">
        <v>202093000</v>
      </c>
      <c r="D11" s="18">
        <v>80977000</v>
      </c>
      <c r="E11" s="18">
        <v>1458644000</v>
      </c>
      <c r="F11" s="6" t="s">
        <v>102</v>
      </c>
    </row>
    <row r="12" spans="1:6" x14ac:dyDescent="0.25">
      <c r="A12" t="s">
        <v>34</v>
      </c>
      <c r="B12" s="34">
        <v>615717000</v>
      </c>
      <c r="C12" s="34">
        <v>514593000</v>
      </c>
      <c r="D12" s="34">
        <v>413224000</v>
      </c>
      <c r="E12" s="34">
        <v>406495000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