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<sst xmlns="http://schemas.openxmlformats.org/spreadsheetml/2006/main" count="116" uniqueCount="104">
  <si>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EQT AB (publ) (EQT.ST)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</si>
  <si>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</si>
  <si>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</si>
  <si>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</si>
  <si>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</si>
  <si>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</si>
  <si>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</si>
  <si>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</si>
  <si>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</si>
  <si>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</si>
  <si>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</si>
  <si>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</si>
  <si>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</si>
  <si>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</si>
  <si>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</si>
  <si>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</si>
  <si>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</si>
  <si>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</si>
  <si>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</si>
  <si>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</si>
  <si>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</si>
  <si>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</si>
  <si>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</si>
  <si>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</si>
  <si>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</si>
  <si>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</si>
  <si>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</si>
  <si>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</si>
  <si>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</si>
  <si>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</si>
  <si>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</si>
  <si>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</si>
  <si>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</si>
  <si>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</si>
  <si>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</si>
  <si>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</si>
  <si>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</si>
  <si>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</si>
  <si>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</si>
  <si>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</si>
  <si>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</si>
  <si>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</si>
  <si>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</si>
  <si>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</si>
  <si>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</si>
  <si>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</si>
  <si>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</si>
  <si>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</si>
  <si>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</si>
  <si>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</si>
  <si>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</si>
  <si>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</si>
  <si>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</si>
  <si>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</si>
  <si>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</si>
  <si>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</si>
  <si>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</si>
  <si>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</si>
  <si>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</si>
  <si>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</si>
  <si>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</si>
  <si>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</si>
  <si>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</si>
  <si>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</si>
  <si>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</si>
  <si>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</si>
  <si>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</si>
  <si>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</si>
  <si>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</si>
  <si>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</si>
  <si>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EUR to SEK</t>
  </si>
  <si>
    <t>EUR/SEK at 11.2866</t>
  </si>
  <si>
    <t>Value per share (SEK)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</si>
  <si>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</si>
  <si>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</si>
  <si>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</si>
  <si>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</si>
  <si>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</si>
  <si>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</si>
  <si>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</si>
  <si>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</si>
  <si>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</si>
  <si>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</si>
  <si>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</si>
  <si>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</si>
  <si>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</si>
  <si>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</si>
  <si>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</si>
  <si>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</si>
  <si>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</si>
  <si>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</si>
  <si>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</si>
  <si>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</si>
  <si>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</si>
  <si>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</si>
  <si>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</si>
  <si>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</si>
  <si>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</si>
  <si>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</si>
  <si>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EUR, trades in SEK. Modelled in EUR, converted at the end.</t>
  </si>
  <si>
    <t>Adjusted: Reported capital expenditure averages 1.29% of revenue against depreciation of 16.40%. A business cannot depreciate more than it invests indefinitely. Capex has been set to 16.40% of revenue so the forecast is not handed free growth. Override it if the reported figure is right.</t>
  </si>
  <si>
    <t>Note: Risk-free rate is an assumption: USD assumption - no free live source available for this market.</t>
  </si>
  <si>
    <t>Current EV/EBITDA of 250.5x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</si>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</sst>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0.2069270451269576</v>
      </c>
    </row>
    <row r="7" spans="1:2" x14ac:dyDescent="0.25">
      <c r="A7" t="s">
        <v>5</v>
      </c>
      <c r="B7" s="6">
        <v>0.2931684945083976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0.1640331024860081</v>
      </c>
    </row>
    <row r="10" spans="1:2" x14ac:dyDescent="0.25">
      <c r="A10" t="s">
        <v>8</v>
      </c>
      <c r="B10" s="6">
        <v>0.1640331024860081</v>
      </c>
    </row>
    <row r="11" spans="1:2" x14ac:dyDescent="0.25">
      <c r="A11" t="s">
        <v>9</v>
      </c>
      <c r="B11" s="6">
        <v>0.1662134058550632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0.12428589273838579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1.27604</v>
      </c>
      <c r="C19" s="8" t="s">
        <v>19</v>
      </c>
    </row>
    <row r="20" spans="1:2" x14ac:dyDescent="0.25">
      <c r="A20" t="s">
        <v>20</v>
      </c>
      <c r="B20" s="10">
        <f>B17+B19*B18</f>
        <v>0.12494260000000001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373654421504</v>
      </c>
    </row>
    <row r="23" spans="1:2" x14ac:dyDescent="0.25">
      <c r="A23" t="s">
        <v>24</v>
      </c>
      <c r="B23" s="11">
        <v>2644600000</v>
      </c>
    </row>
    <row r="24" spans="1:2" x14ac:dyDescent="0.25">
      <c r="A24" t="s">
        <v>25</v>
      </c>
      <c r="B24" s="10">
        <f>B22/(B22+B23)</f>
        <v>0.9929720784565689</v>
      </c>
    </row>
    <row r="25" spans="1:2" x14ac:dyDescent="0.25">
      <c r="A25" t="s">
        <v>26</v>
      </c>
      <c r="B25" s="10">
        <f>1-B24</f>
        <v>0.007027921543431126</v>
      </c>
    </row>
    <row r="26" spans="1:2" x14ac:dyDescent="0.25">
      <c r="A26" t="s">
        <v>27</v>
      </c>
      <c r="B26" s="12">
        <f>B24*B20+B25*B21*(1-B8)</f>
        <v>0.12428589273838579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2632400000</v>
      </c>
      <c r="C29" s="8" t="s">
        <v>30</v>
      </c>
    </row>
    <row r="30" spans="1:2" x14ac:dyDescent="0.25">
      <c r="A30" t="s">
        <v>31</v>
      </c>
      <c r="B30" s="11">
        <v>-3506000000</v>
      </c>
    </row>
    <row r="31" spans="1:2" x14ac:dyDescent="0.25">
      <c r="A31" t="s">
        <v>32</v>
      </c>
      <c r="B31" s="13">
        <v>1178560097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0.2069270451269576</v>
      </c>
      <c r="C5" s="10">
        <f>Assumptions!B6</f>
        <v>0.2069270451269576</v>
      </c>
      <c r="D5" s="10">
        <f>Assumptions!B6</f>
        <v>0.2069270451269576</v>
      </c>
      <c r="E5" s="10">
        <f>Assumptions!B6</f>
        <v>0.2069270451269576</v>
      </c>
      <c r="F5" s="10">
        <f>Assumptions!B6</f>
        <v>0.2069270451269576</v>
      </c>
    </row>
    <row r="6" spans="1:6" x14ac:dyDescent="0.25">
      <c r="A6" t="s">
        <v>43</v>
      </c>
      <c r="B6" s="18">
        <f>Assumptions!B29*(1+B5)</f>
        <v>3177114753.592203</v>
      </c>
      <c r="C6" s="18">
        <f>B6*(1+C5)</f>
        <v>3834545721.5822997</v>
      </c>
      <c r="D6" s="18">
        <f>C6*(1+D5)</f>
        <v>4628016937.1535425</v>
      </c>
      <c r="E6" s="18">
        <f>D6*(1+E5)</f>
        <v>5585678806.756238</v>
      </c>
      <c r="F6" s="18">
        <f>E6*(1+F5)</f>
        <v>6741506817.266577</v>
      </c>
    </row>
    <row r="7" spans="1:6" x14ac:dyDescent="0.25">
      <c r="A7" t="s">
        <v>5</v>
      </c>
      <c r="B7" s="10">
        <f>Assumptions!B7</f>
        <v>0.2931684945083976</v>
      </c>
      <c r="C7" s="10">
        <f>Assumptions!B7</f>
        <v>0.2931684945083976</v>
      </c>
      <c r="D7" s="10">
        <f>Assumptions!B7</f>
        <v>0.2931684945083976</v>
      </c>
      <c r="E7" s="10">
        <f>Assumptions!B7</f>
        <v>0.2931684945083976</v>
      </c>
      <c r="F7" s="10">
        <f>Assumptions!B7</f>
        <v>0.2931684945083976</v>
      </c>
    </row>
    <row r="8" spans="1:6" x14ac:dyDescent="0.25">
      <c r="A8" t="s">
        <v>44</v>
      </c>
      <c r="B8" s="18">
        <f>B6*B7</f>
        <v>931429949.1910448</v>
      </c>
      <c r="C8" s="18">
        <f>C6*C7</f>
        <v>1124167996.3199</v>
      </c>
      <c r="D8" s="18">
        <f>D6*D7</f>
        <v>1356788758.0246694</v>
      </c>
      <c r="E8" s="18">
        <f>E6*E7</f>
        <v>1637545046.584189</v>
      </c>
      <c r="F8" s="18">
        <f>F6*F7</f>
        <v>1976397404.3361413</v>
      </c>
    </row>
    <row r="9" spans="1:6" x14ac:dyDescent="0.25">
      <c r="A9" t="s">
        <v>45</v>
      </c>
      <c r="B9" s="18">
        <f>B8*(1-Assumptions!B8)</f>
        <v>698572461.8932836</v>
      </c>
      <c r="C9" s="18">
        <f>C8*(1-Assumptions!B8)</f>
        <v>843125997.239925</v>
      </c>
      <c r="D9" s="18">
        <f>D8*(1-Assumptions!B8)</f>
        <v>1017591568.518502</v>
      </c>
      <c r="E9" s="18">
        <f>E8*(1-Assumptions!B8)</f>
        <v>1228158784.9381418</v>
      </c>
      <c r="F9" s="18">
        <f>F8*(1-Assumptions!B8)</f>
        <v>1482298053.252106</v>
      </c>
    </row>
    <row r="10" spans="1:6" x14ac:dyDescent="0.25">
      <c r="A10" t="s">
        <v>46</v>
      </c>
      <c r="B10" s="18">
        <f>B6*Assumptions!B9</f>
        <v>521151989.98579824</v>
      </c>
      <c r="C10" s="18">
        <f>C6*Assumptions!B9</f>
        <v>628992431.3355933</v>
      </c>
      <c r="D10" s="18">
        <f>D6*Assumptions!B9</f>
        <v>759147976.5590883</v>
      </c>
      <c r="E10" s="18">
        <f>E6*Assumptions!B9</f>
        <v>916236224.1625695</v>
      </c>
      <c r="F10" s="18">
        <f>F6*Assumptions!B9</f>
        <v>1105830278.6668108</v>
      </c>
    </row>
    <row r="11" spans="1:6" x14ac:dyDescent="0.25">
      <c r="A11" t="s">
        <v>47</v>
      </c>
      <c r="B11" s="18">
        <f>-B6*Assumptions!B10</f>
        <v>-521151989.98579824</v>
      </c>
      <c r="C11" s="18">
        <f>-C6*Assumptions!B10</f>
        <v>-628992431.3355933</v>
      </c>
      <c r="D11" s="18">
        <f>-D6*Assumptions!B10</f>
        <v>-759147976.5590883</v>
      </c>
      <c r="E11" s="18">
        <f>-E6*Assumptions!B10</f>
        <v>-916236224.1625695</v>
      </c>
      <c r="F11" s="18">
        <f>-F6*Assumptions!B10</f>
        <v>-1105830278.6668108</v>
      </c>
    </row>
    <row r="12" spans="1:6" x14ac:dyDescent="0.25">
      <c r="A12" t="s">
        <v>48</v>
      </c>
      <c r="B12" s="18">
        <f>-(B6-Assumptions!B29)*Assumptions!B11</f>
        <v>-90538894.4140616</v>
      </c>
      <c r="C12" s="18">
        <f>-(C6-B6)*Assumptions!B11</f>
        <v>-109273840.30422498</v>
      </c>
      <c r="D12" s="18">
        <f>-(D6-C6)*Assumptions!B11</f>
        <v>-131885553.18805332</v>
      </c>
      <c r="E12" s="18">
        <f>-(E6-D6)*Assumptions!B11</f>
        <v>-159176241.00419143</v>
      </c>
      <c r="F12" s="18">
        <f>-(F6-E6)*Assumptions!B11</f>
        <v>-192114110.2096052</v>
      </c>
    </row>
    <row r="13" spans="1:6" x14ac:dyDescent="0.25">
      <c r="A13" s="19" t="s">
        <v>49</v>
      </c>
      <c r="B13" s="20">
        <f>B9+B10+B11+B12</f>
        <v>608033567.4792218</v>
      </c>
      <c r="C13" s="20">
        <f>C9+C10+C11+C12</f>
        <v>733852156.9357</v>
      </c>
      <c r="D13" s="20">
        <f>D9+D10+D11+D12</f>
        <v>885706015.3304487</v>
      </c>
      <c r="E13" s="20">
        <f>E9+E10+E11+E12</f>
        <v>1068982543.9339504</v>
      </c>
      <c r="F13" s="20">
        <f>F9+F10+F11+F12</f>
        <v>1290183943.0425007</v>
      </c>
    </row>
    <row r="14" spans="1:6" x14ac:dyDescent="0.25">
      <c r="A14" t="s">
        <v>50</v>
      </c>
      <c r="B14" s="21">
        <f>1/(1+Assumptions!$B$26)^(1-0.5*Assumptions!$B$32)</f>
        <v>0.9431084137934779</v>
      </c>
      <c r="C14" s="21">
        <f>1/(1+Assumptions!$B$26)^(2-0.5*Assumptions!$B$32)</f>
        <v>0.838851060824378</v>
      </c>
      <c r="D14" s="21">
        <f>1/(1+Assumptions!$B$26)^(3-0.5*Assumptions!$B$32)</f>
        <v>0.7461189953929034</v>
      </c>
      <c r="E14" s="21">
        <f>1/(1+Assumptions!$B$26)^(4-0.5*Assumptions!$B$32)</f>
        <v>0.6636381370717069</v>
      </c>
      <c r="F14" s="21">
        <f>1/(1+Assumptions!$B$26)^(5-0.5*Assumptions!$B$32)</f>
        <v>0.5902752505906711</v>
      </c>
    </row>
    <row r="15" spans="1:6" x14ac:dyDescent="0.25">
      <c r="A15" s="19" t="s">
        <v>51</v>
      </c>
      <c r="B15" s="20">
        <f>B13*B14</f>
        <v>573441573.3585185</v>
      </c>
      <c r="C15" s="20">
        <f>C13*C14</f>
        <v>615592660.3337699</v>
      </c>
      <c r="D15" s="20">
        <f>D13*D14</f>
        <v>660842082.3718059</v>
      </c>
      <c r="E15" s="20">
        <f>E13*E14</f>
        <v>709417584.0185009</v>
      </c>
      <c r="F15" s="20">
        <f>F13*F14</f>
        <v>761563650.2874722</v>
      </c>
    </row>
    <row r="17" spans="1:2" x14ac:dyDescent="0.25">
      <c r="A17" s="22" t="s">
        <v>52</v>
      </c>
      <c r="B17" s="23">
        <f>SUM(B15:F15)</f>
        <v>3320857550.3700676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1290183943.0425007</v>
      </c>
    </row>
    <row r="5" spans="1:2" x14ac:dyDescent="0.25">
      <c r="A5" t="s">
        <v>56</v>
      </c>
      <c r="B5" s="18">
        <f>IF(Assumptions!$B$33=0,B4,B4-Forecast!F11-Forecast!F10-Forecast!F12)</f>
        <v>1482298053.252106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0.2011491364721777</v>
      </c>
    </row>
    <row r="7" spans="1:2" x14ac:dyDescent="0.25">
      <c r="A7" t="s">
        <v>58</v>
      </c>
      <c r="B7" s="18">
        <f>-MAX(Forecast!F9,0)*B6</f>
        <v>-298162973.40605116</v>
      </c>
    </row>
    <row r="8" spans="1:2" x14ac:dyDescent="0.25">
      <c r="A8" t="s">
        <v>59</v>
      </c>
      <c r="B8" s="18">
        <f>IF(OR(Assumptions!$B$33=0,Assumptions!B12&lt;=0),B5,MAX(B5+B7,0))</f>
        <v>1184135079.8460548</v>
      </c>
    </row>
    <row r="9" spans="1:2" x14ac:dyDescent="0.25">
      <c r="A9" t="s">
        <v>60</v>
      </c>
      <c r="B9" s="18">
        <f>B8*(1+Assumptions!B12)/(Assumptions!B26-Assumptions!B12)</f>
        <v>12224681909.648096</v>
      </c>
    </row>
    <row r="10" spans="1:2" x14ac:dyDescent="0.25">
      <c r="A10" t="s">
        <v>61</v>
      </c>
      <c r="B10" s="18">
        <f>B9/(1+Assumptions!B26)^(5-0.5*Assumptions!B32)</f>
        <v>7215927177.608773</v>
      </c>
    </row>
    <row r="11" spans="1:2" x14ac:dyDescent="0.25">
      <c r="A11" t="s">
        <v>62</v>
      </c>
      <c r="B11" s="18">
        <f>Forecast!B17+B10</f>
        <v>10536784727.97884</v>
      </c>
    </row>
    <row r="12" spans="1:2" x14ac:dyDescent="0.25">
      <c r="A12" t="s">
        <v>63</v>
      </c>
      <c r="B12" s="18">
        <f>-Assumptions!B30</f>
        <v>3506000000</v>
      </c>
    </row>
    <row r="13" spans="1:2" x14ac:dyDescent="0.25">
      <c r="A13" t="s">
        <v>64</v>
      </c>
      <c r="B13" s="18">
        <f>B11+B12</f>
        <v>14042784727.97884</v>
      </c>
    </row>
    <row r="14" spans="1:2" x14ac:dyDescent="0.25">
      <c r="A14" s="19" t="s">
        <v>65</v>
      </c>
      <c r="B14" s="24">
        <f>B13/Assumptions!B31</f>
        <v>11.915204632945281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3082227683.002952</v>
      </c>
    </row>
    <row r="18" spans="1:2" x14ac:dyDescent="0.25">
      <c r="A18" t="s">
        <v>60</v>
      </c>
      <c r="B18" s="18">
        <f>B17*Assumptions!B13</f>
        <v>61644553660.059044</v>
      </c>
    </row>
    <row r="19" spans="1:2" x14ac:dyDescent="0.25">
      <c r="A19" t="s">
        <v>61</v>
      </c>
      <c r="B19" s="18">
        <f>B18/(1+Assumptions!B26)^(5-0.5*Assumptions!B32)</f>
        <v>36387254359.241425</v>
      </c>
    </row>
    <row r="20" spans="1:2" x14ac:dyDescent="0.25">
      <c r="A20" t="s">
        <v>62</v>
      </c>
      <c r="B20" s="18">
        <f>Forecast!B17+B19</f>
        <v>39708111909.611496</v>
      </c>
    </row>
    <row r="21" spans="1:2" x14ac:dyDescent="0.25">
      <c r="A21" t="s">
        <v>63</v>
      </c>
      <c r="B21" s="18">
        <f>-Assumptions!B30</f>
        <v>3506000000</v>
      </c>
    </row>
    <row r="22" spans="1:2" x14ac:dyDescent="0.25">
      <c r="A22" t="s">
        <v>64</v>
      </c>
      <c r="B22" s="18">
        <f>B20+B21</f>
        <v>43214111909.611496</v>
      </c>
    </row>
    <row r="23" spans="1:2" x14ac:dyDescent="0.25">
      <c r="A23" s="19" t="s">
        <v>65</v>
      </c>
      <c r="B23" s="25">
        <f>B22/Assumptions!B31</f>
        <v>36.666871735783445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299.9</v>
      </c>
    </row>
    <row r="27" spans="1:3" x14ac:dyDescent="0.25">
      <c r="A27" t="s">
        <v>70</v>
      </c>
      <c r="B27" s="27">
        <v>11.28662</v>
      </c>
      <c r="C27" s="8" t="s">
        <v>71</v>
      </c>
    </row>
    <row r="28" spans="1:2" x14ac:dyDescent="0.25">
      <c r="A28" t="s">
        <v>72</v>
      </c>
      <c r="B28" s="28">
        <f>B14*B27</f>
        <v>134.48238691429287</v>
      </c>
    </row>
    <row r="29" spans="1:2" x14ac:dyDescent="0.25">
      <c r="A29" s="19" t="s">
        <v>73</v>
      </c>
      <c r="B29" s="12">
        <f>B28/B26-1</f>
        <v>-0.5515759022531082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0.104286</v>
      </c>
      <c r="B5" s="31">
        <v>13.763818462290054</v>
      </c>
      <c r="C5" s="31">
        <v>13.802407215908895</v>
      </c>
      <c r="D5" s="31">
        <v>13.84099596952773</v>
      </c>
      <c r="E5" s="31">
        <v>13.879584723146571</v>
      </c>
      <c r="F5" s="31">
        <v>13.918173476765407</v>
      </c>
    </row>
    <row r="6" spans="1:6" x14ac:dyDescent="0.25">
      <c r="A6" s="30">
        <v>0.114286</v>
      </c>
      <c r="B6" s="31">
        <v>12.723972561459197</v>
      </c>
      <c r="C6" s="31">
        <v>12.75778494166518</v>
      </c>
      <c r="D6" s="31">
        <v>12.791597321871157</v>
      </c>
      <c r="E6" s="31">
        <v>12.82540970207714</v>
      </c>
      <c r="F6" s="31">
        <v>12.859222082283122</v>
      </c>
    </row>
    <row r="7" spans="1:6" x14ac:dyDescent="0.25">
      <c r="A7" s="30">
        <v>0.124286</v>
      </c>
      <c r="B7" s="31">
        <v>11.855462782630347</v>
      </c>
      <c r="C7" s="31">
        <v>11.88532939644875</v>
      </c>
      <c r="D7" s="32">
        <v>11.915196010267156</v>
      </c>
      <c r="E7" s="31">
        <v>11.945062624085558</v>
      </c>
      <c r="F7" s="31">
        <v>11.974929237903963</v>
      </c>
    </row>
    <row r="8" spans="1:6" x14ac:dyDescent="0.25">
      <c r="A8" s="30">
        <v>0.134286</v>
      </c>
      <c r="B8" s="31">
        <v>11.119828075876702</v>
      </c>
      <c r="C8" s="31">
        <v>11.146390731933892</v>
      </c>
      <c r="D8" s="31">
        <v>11.172953387991077</v>
      </c>
      <c r="E8" s="31">
        <v>11.199516044048265</v>
      </c>
      <c r="F8" s="31">
        <v>11.226078700105452</v>
      </c>
    </row>
    <row r="9" spans="1:6" x14ac:dyDescent="0.25">
      <c r="A9" s="30">
        <v>0.144286</v>
      </c>
      <c r="B9" s="31">
        <v>10.489279883131497</v>
      </c>
      <c r="C9" s="31">
        <v>10.513044126187804</v>
      </c>
      <c r="D9" s="31">
        <v>10.536808369244106</v>
      </c>
      <c r="E9" s="31">
        <v>10.560572612300412</v>
      </c>
      <c r="F9" s="31">
        <v>10.584336855356714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2632400000</v>
      </c>
      <c r="C5" s="18">
        <v>2652700000</v>
      </c>
      <c r="D5" s="18">
        <v>2122400000</v>
      </c>
      <c r="E5" s="18">
        <v>1497300000</v>
      </c>
      <c r="F5" s="8" t="s">
        <v>84</v>
      </c>
    </row>
    <row r="6" spans="1:6" x14ac:dyDescent="0.25">
      <c r="A6" t="s">
        <v>44</v>
      </c>
      <c r="B6" s="18">
        <v>1048600000</v>
      </c>
      <c r="C6" s="18">
        <v>1116200000</v>
      </c>
      <c r="D6" s="18">
        <v>312800000</v>
      </c>
      <c r="E6" s="18">
        <v>308700000</v>
      </c>
      <c r="F6" s="8" t="s">
        <v>85</v>
      </c>
    </row>
    <row r="7" spans="1:6" x14ac:dyDescent="0.25">
      <c r="A7" t="s">
        <v>86</v>
      </c>
      <c r="B7" s="18">
        <v>428800000</v>
      </c>
      <c r="C7" s="18">
        <v>436000000</v>
      </c>
      <c r="D7" s="18">
        <v>418200000</v>
      </c>
      <c r="E7" s="18">
        <v>197400000</v>
      </c>
      <c r="F7" s="8" t="s">
        <v>87</v>
      </c>
    </row>
    <row r="8" spans="1:6" x14ac:dyDescent="0.25">
      <c r="A8" t="s">
        <v>88</v>
      </c>
      <c r="B8" s="18">
        <v>34900000</v>
      </c>
      <c r="C8" s="18">
        <v>17500000</v>
      </c>
      <c r="D8" s="18">
        <v>23600000</v>
      </c>
      <c r="E8" s="18">
        <v>31000000</v>
      </c>
      <c r="F8" s="8" t="s">
        <v>89</v>
      </c>
    </row>
    <row r="9" spans="1:6" x14ac:dyDescent="0.25">
      <c r="A9" t="s">
        <v>90</v>
      </c>
      <c r="B9" s="18">
        <v>-106500000</v>
      </c>
      <c r="C9" s="18">
        <v>-65100000</v>
      </c>
      <c r="D9" s="18">
        <v>103900000</v>
      </c>
      <c r="E9" s="18">
        <v>78500000</v>
      </c>
      <c r="F9" s="8" t="s">
        <v>91</v>
      </c>
    </row>
    <row r="10" spans="1:6" x14ac:dyDescent="0.25">
      <c r="A10" t="s">
        <v>92</v>
      </c>
      <c r="B10" s="18">
        <v>2644600000</v>
      </c>
      <c r="C10" s="18">
        <v>2223000000</v>
      </c>
      <c r="D10" s="18">
        <v>2146300000</v>
      </c>
      <c r="E10" s="18">
        <v>2148900000</v>
      </c>
      <c r="F10" s="8" t="s">
        <v>93</v>
      </c>
    </row>
    <row r="11" spans="1:6" x14ac:dyDescent="0.25">
      <c r="A11" t="s">
        <v>94</v>
      </c>
      <c r="B11" s="18">
        <v>6150600000</v>
      </c>
      <c r="C11" s="18">
        <v>5326300000</v>
      </c>
      <c r="D11" s="18">
        <v>4152900000</v>
      </c>
      <c r="E11" s="18">
        <v>644900000</v>
      </c>
      <c r="F11" s="8" t="s">
        <v>95</v>
      </c>
    </row>
    <row r="12" spans="1:6" x14ac:dyDescent="0.25">
      <c r="A12" t="s">
        <v>32</v>
      </c>
      <c r="B12" s="34">
        <v>1178560097</v>
      </c>
      <c r="C12" s="34">
        <v>1184166399</v>
      </c>
      <c r="D12" s="34">
        <v>1186434306</v>
      </c>
      <c r="E12" s="34">
        <v>1032594481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2026-09-19T00:07:55Z</dcterms:modified>
</cp:coreProperties>
</file>