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<sst xmlns="http://schemas.openxmlformats.org/spreadsheetml/2006/main" count="112" uniqueCount="100">
  <si>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Eurofins Scientific SE (ERF.PA)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</si>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</sst>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0.02819965355074694</v>
      </c>
    </row>
    <row r="7" spans="1:2" x14ac:dyDescent="0.25">
      <c r="A7" t="s">
        <v>5</v>
      </c>
      <c r="B7" s="6">
        <v>0.10431233144942989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0.08350691161221785</v>
      </c>
    </row>
    <row r="10" spans="1:2" x14ac:dyDescent="0.25">
      <c r="A10" t="s">
        <v>8</v>
      </c>
      <c r="B10" s="6">
        <v>0.0933089777260893</v>
      </c>
    </row>
    <row r="11" spans="1:2" x14ac:dyDescent="0.25">
      <c r="A11" t="s">
        <v>9</v>
      </c>
      <c r="B11" s="6">
        <v>-0.1506809620399884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11.548984158032878</v>
      </c>
    </row>
    <row r="14" spans="1:3" x14ac:dyDescent="0.25">
      <c r="A14" t="s">
        <v>12</v>
      </c>
      <c r="B14" s="6">
        <v>0.07148878495754717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0.89816</v>
      </c>
      <c r="C19" s="8" t="s">
        <v>19</v>
      </c>
    </row>
    <row r="20" spans="1:2" x14ac:dyDescent="0.25">
      <c r="A20" t="s">
        <v>20</v>
      </c>
      <c r="B20" s="10">
        <f>B17+B19*B18</f>
        <v>0.0858896</v>
      </c>
    </row>
    <row r="21" spans="1:3" x14ac:dyDescent="0.25">
      <c r="A21" t="s">
        <v>21</v>
      </c>
      <c r="B21" s="6">
        <v>0.03906842569911592</v>
      </c>
      <c r="C21" s="8" t="s">
        <v>22</v>
      </c>
    </row>
    <row r="22" spans="1:2" x14ac:dyDescent="0.25">
      <c r="A22" t="s">
        <v>23</v>
      </c>
      <c r="B22" s="11">
        <v>13079819264</v>
      </c>
    </row>
    <row r="23" spans="1:2" x14ac:dyDescent="0.25">
      <c r="A23" t="s">
        <v>24</v>
      </c>
      <c r="B23" s="11">
        <v>4432000000</v>
      </c>
    </row>
    <row r="24" spans="1:2" x14ac:dyDescent="0.25">
      <c r="A24" t="s">
        <v>25</v>
      </c>
      <c r="B24" s="10">
        <f>B22/(B22+B23)</f>
        <v>0.7469137881572874</v>
      </c>
    </row>
    <row r="25" spans="1:2" x14ac:dyDescent="0.25">
      <c r="A25" t="s">
        <v>26</v>
      </c>
      <c r="B25" s="10">
        <f>1-B24</f>
        <v>0.2530862118427126</v>
      </c>
    </row>
    <row r="26" spans="1:2" x14ac:dyDescent="0.25">
      <c r="A26" t="s">
        <v>27</v>
      </c>
      <c r="B26" s="12">
        <f>B24*B20+B25*B21*(1-B8)</f>
        <v>0.07148878495754717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7296100000</v>
      </c>
      <c r="C29" s="8" t="s">
        <v>30</v>
      </c>
    </row>
    <row r="30" spans="1:2" x14ac:dyDescent="0.25">
      <c r="A30" t="s">
        <v>31</v>
      </c>
      <c r="B30" s="11">
        <v>3640800000</v>
      </c>
    </row>
    <row r="31" spans="1:2" x14ac:dyDescent="0.25">
      <c r="A31" t="s">
        <v>32</v>
      </c>
      <c r="B31" s="13">
        <v>186500000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0.02819965355074694</v>
      </c>
      <c r="C5" s="10">
        <f>Assumptions!B6</f>
        <v>0.02819965355074694</v>
      </c>
      <c r="D5" s="10">
        <f>Assumptions!B6</f>
        <v>0.02819965355074694</v>
      </c>
      <c r="E5" s="10">
        <f>Assumptions!B6</f>
        <v>0.02819965355074694</v>
      </c>
      <c r="F5" s="10">
        <f>Assumptions!B6</f>
        <v>0.02819965355074694</v>
      </c>
    </row>
    <row r="6" spans="1:6" x14ac:dyDescent="0.25">
      <c r="A6" t="s">
        <v>43</v>
      </c>
      <c r="B6" s="18">
        <f>Assumptions!B29*(1+B5)</f>
        <v>7501847492.271605</v>
      </c>
      <c r="C6" s="18">
        <f>B6*(1+C5)</f>
        <v>7713396992.544204</v>
      </c>
      <c r="D6" s="18">
        <f>C6*(1+D5)</f>
        <v>7930912115.433324</v>
      </c>
      <c r="E6" s="18">
        <f>D6*(1+E5)</f>
        <v>8154561089.429965</v>
      </c>
      <c r="F6" s="18">
        <f>E6*(1+F5)</f>
        <v>8384516887.010291</v>
      </c>
    </row>
    <row r="7" spans="1:6" x14ac:dyDescent="0.25">
      <c r="A7" t="s">
        <v>5</v>
      </c>
      <c r="B7" s="10">
        <f>Assumptions!B7</f>
        <v>0.10431233144942989</v>
      </c>
      <c r="C7" s="10">
        <f>Assumptions!B7</f>
        <v>0.10431233144942989</v>
      </c>
      <c r="D7" s="10">
        <f>Assumptions!B7</f>
        <v>0.10431233144942989</v>
      </c>
      <c r="E7" s="10">
        <f>Assumptions!B7</f>
        <v>0.10431233144942989</v>
      </c>
      <c r="F7" s="10">
        <f>Assumptions!B7</f>
        <v>0.10431233144942989</v>
      </c>
    </row>
    <row r="8" spans="1:6" x14ac:dyDescent="0.25">
      <c r="A8" t="s">
        <v>44</v>
      </c>
      <c r="B8" s="18">
        <f>B6*B7</f>
        <v>782535202.09691</v>
      </c>
      <c r="C8" s="18">
        <f>C6*C7</f>
        <v>804602423.6873066</v>
      </c>
      <c r="D8" s="18">
        <f>D6*D7</f>
        <v>827291933.28138</v>
      </c>
      <c r="E8" s="18">
        <f>E6*E7</f>
        <v>850621279.1852427</v>
      </c>
      <c r="F8" s="18">
        <f>F6*F7</f>
        <v>874608504.5611596</v>
      </c>
    </row>
    <row r="9" spans="1:6" x14ac:dyDescent="0.25">
      <c r="A9" t="s">
        <v>45</v>
      </c>
      <c r="B9" s="18">
        <f>B8*(1-Assumptions!B8)</f>
        <v>580641119.9559072</v>
      </c>
      <c r="C9" s="18">
        <f>C8*(1-Assumptions!B8)</f>
        <v>597014998.3759816</v>
      </c>
      <c r="D9" s="18">
        <f>D8*(1-Assumptions!B8)</f>
        <v>613850614.494784</v>
      </c>
      <c r="E9" s="18">
        <f>E8*(1-Assumptions!B8)</f>
        <v>631160989.15545</v>
      </c>
      <c r="F9" s="18">
        <f>F8*(1-Assumptions!B8)</f>
        <v>648959510.3843805</v>
      </c>
    </row>
    <row r="10" spans="1:6" x14ac:dyDescent="0.25">
      <c r="A10" t="s">
        <v>46</v>
      </c>
      <c r="B10" s="18">
        <f>B6*Assumptions!B9</f>
        <v>626456115.465463</v>
      </c>
      <c r="C10" s="18">
        <f>C6*Assumptions!B9</f>
        <v>644121960.8863358</v>
      </c>
      <c r="D10" s="18">
        <f>D6*Assumptions!B9</f>
        <v>662285977.0277582</v>
      </c>
      <c r="E10" s="18">
        <f>E6*Assumptions!B9</f>
        <v>680962212.131459</v>
      </c>
      <c r="F10" s="18">
        <f>F6*Assumptions!B9</f>
        <v>700165110.5947163</v>
      </c>
    </row>
    <row r="11" spans="1:6" x14ac:dyDescent="0.25">
      <c r="A11" t="s">
        <v>47</v>
      </c>
      <c r="B11" s="18">
        <f>-B6*Assumptions!B10</f>
        <v>-699989720.5608901</v>
      </c>
      <c r="C11" s="18">
        <f>-C6*Assumptions!B10</f>
        <v>-719729188.1697913</v>
      </c>
      <c r="D11" s="18">
        <f>-D6*Assumptions!B10</f>
        <v>-740025301.9265398</v>
      </c>
      <c r="E11" s="18">
        <f>-E6*Assumptions!B10</f>
        <v>-760893759.0596551</v>
      </c>
      <c r="F11" s="18">
        <f>-F6*Assumptions!B10</f>
        <v>-782350699.4540628</v>
      </c>
    </row>
    <row r="12" spans="1:6" x14ac:dyDescent="0.25">
      <c r="A12" t="s">
        <v>48</v>
      </c>
      <c r="B12" s="18">
        <f>-(B6-Assumptions!B29)*Assumptions!B11</f>
        <v>31002230.07280045</v>
      </c>
      <c r="C12" s="18">
        <f>-(C6-B6)*Assumptions!B11</f>
        <v>31876482.22015404</v>
      </c>
      <c r="D12" s="18">
        <f>-(D6-C6)*Assumptions!B11</f>
        <v>32775387.97517892</v>
      </c>
      <c r="E12" s="18">
        <f>-(E6-D6)*Assumptions!B11</f>
        <v>33699642.56107024</v>
      </c>
      <c r="F12" s="18">
        <f>-(F6-E6)*Assumptions!B11</f>
        <v>34649960.80607637</v>
      </c>
    </row>
    <row r="13" spans="1:6" x14ac:dyDescent="0.25">
      <c r="A13" s="19" t="s">
        <v>49</v>
      </c>
      <c r="B13" s="20">
        <f>B9+B10+B11+B12</f>
        <v>538109744.9332806</v>
      </c>
      <c r="C13" s="20">
        <f>C9+C10+C11+C12</f>
        <v>553284253.3126801</v>
      </c>
      <c r="D13" s="20">
        <f>D9+D10+D11+D12</f>
        <v>568886677.5711814</v>
      </c>
      <c r="E13" s="20">
        <f>E9+E10+E11+E12</f>
        <v>584929084.7883242</v>
      </c>
      <c r="F13" s="20">
        <f>F9+F10+F11+F12</f>
        <v>601423882.3311105</v>
      </c>
    </row>
    <row r="14" spans="1:6" x14ac:dyDescent="0.25">
      <c r="A14" t="s">
        <v>50</v>
      </c>
      <c r="B14" s="21">
        <f>1/(1+Assumptions!$B$26)^(1-0.5*Assumptions!$B$32)</f>
        <v>0.9660646373855327</v>
      </c>
      <c r="C14" s="21">
        <f>1/(1+Assumptions!$B$26)^(2-0.5*Assumptions!$B$32)</f>
        <v>0.9016096584004923</v>
      </c>
      <c r="D14" s="21">
        <f>1/(1+Assumptions!$B$26)^(3-0.5*Assumptions!$B$32)</f>
        <v>0.8414550586604735</v>
      </c>
      <c r="E14" s="21">
        <f>1/(1+Assumptions!$B$26)^(4-0.5*Assumptions!$B$32)</f>
        <v>0.7853139206620929</v>
      </c>
      <c r="F14" s="21">
        <f>1/(1+Assumptions!$B$26)^(5-0.5*Assumptions!$B$32)</f>
        <v>0.7329184697842707</v>
      </c>
    </row>
    <row r="15" spans="1:6" x14ac:dyDescent="0.25">
      <c r="A15" s="19" t="s">
        <v>51</v>
      </c>
      <c r="B15" s="20">
        <f>B13*B14</f>
        <v>519848795.6125912</v>
      </c>
      <c r="C15" s="20">
        <f>C13*C14</f>
        <v>498846426.627617</v>
      </c>
      <c r="D15" s="20">
        <f>D13*D14</f>
        <v>478692572.64682037</v>
      </c>
      <c r="E15" s="20">
        <f>E13*E14</f>
        <v>459352952.8844087</v>
      </c>
      <c r="F15" s="20">
        <f>F13*F14</f>
        <v>440794671.5298327</v>
      </c>
    </row>
    <row r="17" spans="1:2" x14ac:dyDescent="0.25">
      <c r="A17" s="22" t="s">
        <v>52</v>
      </c>
      <c r="B17" s="23">
        <f>SUM(B15:F15)</f>
        <v>2397535419.30127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601423882.3311105</v>
      </c>
    </row>
    <row r="5" spans="1:2" x14ac:dyDescent="0.25">
      <c r="A5" t="s">
        <v>56</v>
      </c>
      <c r="B5" s="18">
        <f>IF(Assumptions!$B$33=0,B4,B4-Forecast!F11-Forecast!F10-Forecast!F12)</f>
        <v>694211138.4648285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0.34970520221942475</v>
      </c>
    </row>
    <row r="7" spans="1:2" x14ac:dyDescent="0.25">
      <c r="A7" t="s">
        <v>58</v>
      </c>
      <c r="B7" s="18">
        <f>-MAX(Forecast!F9,0)*B6</f>
        <v>-242769246.55981994</v>
      </c>
    </row>
    <row r="8" spans="1:2" x14ac:dyDescent="0.25">
      <c r="A8" t="s">
        <v>59</v>
      </c>
      <c r="B8" s="18">
        <f>IF(OR(Assumptions!$B$33=0,Assumptions!B12&lt;=0),B5,MAX(B5+B7,0))</f>
        <v>451441891.90500855</v>
      </c>
    </row>
    <row r="9" spans="1:2" x14ac:dyDescent="0.25">
      <c r="A9" t="s">
        <v>60</v>
      </c>
      <c r="B9" s="18">
        <f>B8*(1+Assumptions!B12)/(Assumptions!B26-Assumptions!B12)</f>
        <v>9953539108.952616</v>
      </c>
    </row>
    <row r="10" spans="1:2" x14ac:dyDescent="0.25">
      <c r="A10" t="s">
        <v>61</v>
      </c>
      <c r="B10" s="18">
        <f>B9/(1+Assumptions!B26)^(5-0.5*Assumptions!B32)</f>
        <v>7295132652.671444</v>
      </c>
    </row>
    <row r="11" spans="1:2" x14ac:dyDescent="0.25">
      <c r="A11" t="s">
        <v>62</v>
      </c>
      <c r="B11" s="18">
        <f>Forecast!B17+B10</f>
        <v>9692668071.972713</v>
      </c>
    </row>
    <row r="12" spans="1:2" x14ac:dyDescent="0.25">
      <c r="A12" t="s">
        <v>63</v>
      </c>
      <c r="B12" s="18">
        <f>-Assumptions!B30</f>
        <v>-3640800000</v>
      </c>
    </row>
    <row r="13" spans="1:2" x14ac:dyDescent="0.25">
      <c r="A13" t="s">
        <v>64</v>
      </c>
      <c r="B13" s="18">
        <f>B11+B12</f>
        <v>6051868071.972713</v>
      </c>
    </row>
    <row r="14" spans="1:2" x14ac:dyDescent="0.25">
      <c r="A14" s="19" t="s">
        <v>65</v>
      </c>
      <c r="B14" s="24">
        <f>B13/Assumptions!B31</f>
        <v>32.449694755885865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1574773615.155876</v>
      </c>
    </row>
    <row r="18" spans="1:2" x14ac:dyDescent="0.25">
      <c r="A18" t="s">
        <v>60</v>
      </c>
      <c r="B18" s="18">
        <f>B17*Assumptions!B13</f>
        <v>18187035533.923374</v>
      </c>
    </row>
    <row r="19" spans="1:2" x14ac:dyDescent="0.25">
      <c r="A19" t="s">
        <v>61</v>
      </c>
      <c r="B19" s="18">
        <f>B18/(1+Assumptions!B26)^(5-0.5*Assumptions!B32)</f>
        <v>13329614253.435276</v>
      </c>
    </row>
    <row r="20" spans="1:2" x14ac:dyDescent="0.25">
      <c r="A20" t="s">
        <v>62</v>
      </c>
      <c r="B20" s="18">
        <f>Forecast!B17+B19</f>
        <v>15727149672.736546</v>
      </c>
    </row>
    <row r="21" spans="1:2" x14ac:dyDescent="0.25">
      <c r="A21" t="s">
        <v>63</v>
      </c>
      <c r="B21" s="18">
        <f>-Assumptions!B30</f>
        <v>-3640800000</v>
      </c>
    </row>
    <row r="22" spans="1:2" x14ac:dyDescent="0.25">
      <c r="A22" t="s">
        <v>64</v>
      </c>
      <c r="B22" s="18">
        <f>B20+B21</f>
        <v>12086349672.736546</v>
      </c>
    </row>
    <row r="23" spans="1:2" x14ac:dyDescent="0.25">
      <c r="A23" s="19" t="s">
        <v>65</v>
      </c>
      <c r="B23" s="25">
        <f>B22/Assumptions!B31</f>
        <v>64.80616446507531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76.44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32.449694755885865</v>
      </c>
    </row>
    <row r="29" spans="1:2" x14ac:dyDescent="0.25">
      <c r="A29" s="19" t="s">
        <v>73</v>
      </c>
      <c r="B29" s="12">
        <f>B28/B26-1</f>
        <v>-0.5754880330208547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0.051489</v>
      </c>
      <c r="B5" s="31">
        <v>58.27880775396231</v>
      </c>
      <c r="C5" s="31">
        <v>61.77398553982805</v>
      </c>
      <c r="D5" s="31">
        <v>66.50603253181254</v>
      </c>
      <c r="E5" s="31">
        <v>73.3383224602793</v>
      </c>
      <c r="F5" s="31">
        <v>84.18144080932282</v>
      </c>
    </row>
    <row r="6" spans="1:6" x14ac:dyDescent="0.25">
      <c r="A6" s="30">
        <v>0.061489</v>
      </c>
      <c r="B6" s="31">
        <v>42.02482158804706</v>
      </c>
      <c r="C6" s="31">
        <v>42.968574535495584</v>
      </c>
      <c r="D6" s="31">
        <v>44.11349588543746</v>
      </c>
      <c r="E6" s="31">
        <v>45.555413578976015</v>
      </c>
      <c r="F6" s="31">
        <v>47.46250856495601</v>
      </c>
    </row>
    <row r="7" spans="1:6" x14ac:dyDescent="0.25">
      <c r="A7" s="30">
        <v>0.071489</v>
      </c>
      <c r="B7" s="31">
        <v>32.067917579901895</v>
      </c>
      <c r="C7" s="31">
        <v>32.25872655446905</v>
      </c>
      <c r="D7" s="32">
        <v>32.44953552903622</v>
      </c>
      <c r="E7" s="31">
        <v>32.640344503603394</v>
      </c>
      <c r="F7" s="31">
        <v>32.83115347817056</v>
      </c>
    </row>
    <row r="8" spans="1:6" x14ac:dyDescent="0.25">
      <c r="A8" s="30">
        <v>0.081489</v>
      </c>
      <c r="B8" s="31">
        <v>25.63898290791473</v>
      </c>
      <c r="C8" s="31">
        <v>25.799523284750762</v>
      </c>
      <c r="D8" s="31">
        <v>25.960063661586773</v>
      </c>
      <c r="E8" s="31">
        <v>26.120604038422798</v>
      </c>
      <c r="F8" s="31">
        <v>26.28114441525881</v>
      </c>
    </row>
    <row r="9" spans="1:6" x14ac:dyDescent="0.25">
      <c r="A9" s="30">
        <v>0.091489</v>
      </c>
      <c r="B9" s="31">
        <v>20.625630993062156</v>
      </c>
      <c r="C9" s="31">
        <v>20.762822343290498</v>
      </c>
      <c r="D9" s="31">
        <v>20.90001369351884</v>
      </c>
      <c r="E9" s="31">
        <v>21.03720504374719</v>
      </c>
      <c r="F9" s="31">
        <v>21.17439639397553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7296100000</v>
      </c>
      <c r="C5" s="18">
        <v>6951000000</v>
      </c>
      <c r="D5" s="18">
        <v>6514600000</v>
      </c>
      <c r="E5" s="18">
        <v>6712100000</v>
      </c>
      <c r="F5" s="8" t="s">
        <v>84</v>
      </c>
    </row>
    <row r="6" spans="1:6" x14ac:dyDescent="0.25">
      <c r="A6" t="s">
        <v>44</v>
      </c>
      <c r="B6" s="18">
        <v>818300000</v>
      </c>
      <c r="C6" s="18">
        <v>726200000</v>
      </c>
      <c r="D6" s="18">
        <v>546800000</v>
      </c>
      <c r="E6" s="18">
        <v>783200000</v>
      </c>
      <c r="F6" s="8" t="s">
        <v>85</v>
      </c>
    </row>
    <row r="7" spans="1:6" x14ac:dyDescent="0.25">
      <c r="A7" t="s">
        <v>86</v>
      </c>
      <c r="B7" s="18">
        <v>629500000</v>
      </c>
      <c r="C7" s="18">
        <v>596900000</v>
      </c>
      <c r="D7" s="18">
        <v>565000000</v>
      </c>
      <c r="E7" s="18">
        <v>504400000</v>
      </c>
      <c r="F7" s="8" t="s">
        <v>87</v>
      </c>
    </row>
    <row r="8" spans="1:6" x14ac:dyDescent="0.25">
      <c r="A8" t="s">
        <v>88</v>
      </c>
      <c r="B8" s="18">
        <v>834800000</v>
      </c>
      <c r="C8" s="18">
        <v>528400000</v>
      </c>
      <c r="D8" s="18">
        <v>550100000</v>
      </c>
      <c r="E8" s="18">
        <v>660200000</v>
      </c>
      <c r="F8" s="8" t="s">
        <v>89</v>
      </c>
    </row>
    <row r="9" spans="1:6" x14ac:dyDescent="0.25">
      <c r="A9" t="s">
        <v>90</v>
      </c>
      <c r="B9" s="18">
        <v>-52000000</v>
      </c>
      <c r="C9" s="18">
        <v>-51400000</v>
      </c>
      <c r="D9" s="18">
        <v>75700000</v>
      </c>
      <c r="E9" s="18">
        <v>-33100000</v>
      </c>
      <c r="F9" s="8" t="s">
        <v>91</v>
      </c>
    </row>
    <row r="10" spans="1:6" x14ac:dyDescent="0.25">
      <c r="A10" t="s">
        <v>92</v>
      </c>
      <c r="B10" s="18">
        <v>4432000000</v>
      </c>
      <c r="C10" s="18">
        <v>3610300000</v>
      </c>
      <c r="D10" s="18">
        <v>3926500000</v>
      </c>
      <c r="E10" s="18">
        <v>3325500000</v>
      </c>
      <c r="F10" s="8" t="s">
        <v>93</v>
      </c>
    </row>
    <row r="11" spans="1:6" x14ac:dyDescent="0.25">
      <c r="A11" t="s">
        <v>94</v>
      </c>
      <c r="B11" s="18">
        <v>791200000</v>
      </c>
      <c r="C11" s="18">
        <v>613900000</v>
      </c>
      <c r="D11" s="18">
        <v>1221200000</v>
      </c>
      <c r="E11" s="18">
        <v>486600000</v>
      </c>
      <c r="F11" s="8" t="s">
        <v>95</v>
      </c>
    </row>
    <row r="12" spans="1:6" x14ac:dyDescent="0.25">
      <c r="A12" t="s">
        <v>32</v>
      </c>
      <c r="B12" s="34">
        <v>186500000</v>
      </c>
      <c r="C12" s="34">
        <v>194500000</v>
      </c>
      <c r="D12" s="34">
        <v>197900000</v>
      </c>
      <c r="E12" s="34">
        <v>199000000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2026-09-19T00:07:43Z</dcterms:modified>
</cp:coreProperties>
</file>