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<sst xmlns="http://schemas.openxmlformats.org/spreadsheetml/2006/main" count="112" uniqueCount="100">
  <si>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Telefonaktiebolaget LM Ericsson (publ) (ERIC-B.ST)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</si>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</sst>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-0.044772840786438506</v>
      </c>
    </row>
    <row r="7" spans="1:2" x14ac:dyDescent="0.25">
      <c r="A7" t="s">
        <v>5</v>
      </c>
      <c r="B7" s="6">
        <v>0.07440220934575789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0.039444696111006185</v>
      </c>
    </row>
    <row r="10" spans="1:2" x14ac:dyDescent="0.25">
      <c r="A10" t="s">
        <v>8</v>
      </c>
      <c r="B10" s="6">
        <v>0.018549156309474513</v>
      </c>
    </row>
    <row r="11" spans="1:2" x14ac:dyDescent="0.25">
      <c r="A11" t="s">
        <v>9</v>
      </c>
      <c r="B11" s="6">
        <v>0.0337530136619341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7.864460608823978</v>
      </c>
    </row>
    <row r="14" spans="1:3" x14ac:dyDescent="0.25">
      <c r="A14" t="s">
        <v>12</v>
      </c>
      <c r="B14" s="6">
        <v>0.09068861966133152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0.66969</v>
      </c>
      <c r="C19" s="8" t="s">
        <v>19</v>
      </c>
    </row>
    <row r="20" spans="1:2" x14ac:dyDescent="0.25">
      <c r="A20" t="s">
        <v>20</v>
      </c>
      <c r="B20" s="10">
        <f>B17+B19*B18</f>
        <v>0.08552985</v>
      </c>
    </row>
    <row r="21" spans="1:3" x14ac:dyDescent="0.25">
      <c r="A21" t="s">
        <v>21</v>
      </c>
      <c r="B21" s="6">
        <v>0.06337995337995338</v>
      </c>
      <c r="C21" s="8" t="s">
        <v>22</v>
      </c>
    </row>
    <row r="22" spans="1:2" x14ac:dyDescent="0.25">
      <c r="A22" t="s">
        <v>23</v>
      </c>
      <c r="B22" s="11">
        <v>326318030848</v>
      </c>
    </row>
    <row r="23" spans="1:2" x14ac:dyDescent="0.25">
      <c r="A23" t="s">
        <v>24</v>
      </c>
      <c r="B23" s="11">
        <v>40264000000</v>
      </c>
    </row>
    <row r="24" spans="1:2" x14ac:dyDescent="0.25">
      <c r="A24" t="s">
        <v>25</v>
      </c>
      <c r="B24" s="10">
        <f>B22/(B22+B23)</f>
        <v>0.8901637379582986</v>
      </c>
    </row>
    <row r="25" spans="1:2" x14ac:dyDescent="0.25">
      <c r="A25" t="s">
        <v>26</v>
      </c>
      <c r="B25" s="10">
        <f>1-B24</f>
        <v>0.10983626204170138</v>
      </c>
    </row>
    <row r="26" spans="1:2" x14ac:dyDescent="0.25">
      <c r="A26" t="s">
        <v>27</v>
      </c>
      <c r="B26" s="12">
        <f>B24*B20+B25*B21*(1-B8)</f>
        <v>0.08135663385873612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236681000000</v>
      </c>
      <c r="C29" s="8" t="s">
        <v>30</v>
      </c>
    </row>
    <row r="30" spans="1:2" x14ac:dyDescent="0.25">
      <c r="A30" t="s">
        <v>31</v>
      </c>
      <c r="B30" s="11">
        <v>-17229000000</v>
      </c>
    </row>
    <row r="31" spans="1:2" x14ac:dyDescent="0.25">
      <c r="A31" t="s">
        <v>32</v>
      </c>
      <c r="B31" s="13">
        <v>3342000000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-0.044772840786438506</v>
      </c>
      <c r="C5" s="10">
        <f>Assumptions!B6</f>
        <v>-0.044772840786438506</v>
      </c>
      <c r="D5" s="10">
        <f>Assumptions!B6</f>
        <v>-0.044772840786438506</v>
      </c>
      <c r="E5" s="10">
        <f>Assumptions!B6</f>
        <v>-0.044772840786438506</v>
      </c>
      <c r="F5" s="10">
        <f>Assumptions!B6</f>
        <v>-0.044772840786438506</v>
      </c>
    </row>
    <row r="6" spans="1:6" x14ac:dyDescent="0.25">
      <c r="A6" t="s">
        <v>43</v>
      </c>
      <c r="B6" s="18">
        <f>Assumptions!B29*(1+B5)</f>
        <v>226084119269.82495</v>
      </c>
      <c r="C6" s="18">
        <f>B6*(1+C5)</f>
        <v>215961690993.41492</v>
      </c>
      <c r="D6" s="18">
        <f>C6*(1+D5)</f>
        <v>206292472586.5967</v>
      </c>
      <c r="E6" s="18">
        <f>D6*(1+E5)</f>
        <v>197056172556.0363</v>
      </c>
      <c r="F6" s="18">
        <f>E6*(1+F5)</f>
        <v>188233407916.19992</v>
      </c>
    </row>
    <row r="7" spans="1:6" x14ac:dyDescent="0.25">
      <c r="A7" t="s">
        <v>5</v>
      </c>
      <c r="B7" s="10">
        <f>Assumptions!B7</f>
        <v>0.07440220934575789</v>
      </c>
      <c r="C7" s="10">
        <f>Assumptions!B7</f>
        <v>0.07440220934575789</v>
      </c>
      <c r="D7" s="10">
        <f>Assumptions!B7</f>
        <v>0.07440220934575789</v>
      </c>
      <c r="E7" s="10">
        <f>Assumptions!B7</f>
        <v>0.07440220934575789</v>
      </c>
      <c r="F7" s="10">
        <f>Assumptions!B7</f>
        <v>0.07440220934575789</v>
      </c>
    </row>
    <row r="8" spans="1:6" x14ac:dyDescent="0.25">
      <c r="A8" t="s">
        <v>44</v>
      </c>
      <c r="B8" s="18">
        <f>B6*B7</f>
        <v>16821157971.664812</v>
      </c>
      <c r="C8" s="18">
        <f>C6*C7</f>
        <v>16068026943.955933</v>
      </c>
      <c r="D8" s="18">
        <f>D6*D7</f>
        <v>15348615731.84199</v>
      </c>
      <c r="E8" s="18">
        <f>E6*E7</f>
        <v>14661414603.388002</v>
      </c>
      <c r="F8" s="18">
        <f>F6*F7</f>
        <v>14004981421.646547</v>
      </c>
    </row>
    <row r="9" spans="1:6" x14ac:dyDescent="0.25">
      <c r="A9" t="s">
        <v>45</v>
      </c>
      <c r="B9" s="18">
        <f>B8*(1-Assumptions!B8)</f>
        <v>12615868478.74861</v>
      </c>
      <c r="C9" s="18">
        <f>C8*(1-Assumptions!B8)</f>
        <v>12051020207.96695</v>
      </c>
      <c r="D9" s="18">
        <f>D8*(1-Assumptions!B8)</f>
        <v>11511461798.881493</v>
      </c>
      <c r="E9" s="18">
        <f>E8*(1-Assumptions!B8)</f>
        <v>10996060952.541002</v>
      </c>
      <c r="F9" s="18">
        <f>F8*(1-Assumptions!B8)</f>
        <v>10503736066.234911</v>
      </c>
    </row>
    <row r="10" spans="1:6" x14ac:dyDescent="0.25">
      <c r="A10" t="s">
        <v>46</v>
      </c>
      <c r="B10" s="18">
        <f>B6*Assumptions!B9</f>
        <v>8917819380.122723</v>
      </c>
      <c r="C10" s="18">
        <f>C6*Assumptions!B9</f>
        <v>8518543272.854273</v>
      </c>
      <c r="D10" s="18">
        <f>D6*Assumptions!B9</f>
        <v>8137143891.166381</v>
      </c>
      <c r="E10" s="18">
        <f>E6*Assumptions!B9</f>
        <v>7772820843.270848</v>
      </c>
      <c r="F10" s="18">
        <f>F6*Assumptions!B9</f>
        <v>7424809573.193572</v>
      </c>
    </row>
    <row r="11" spans="1:6" x14ac:dyDescent="0.25">
      <c r="A11" t="s">
        <v>47</v>
      </c>
      <c r="B11" s="18">
        <f>-B6*Assumptions!B10</f>
        <v>-4193669667.425862</v>
      </c>
      <c r="C11" s="18">
        <f>-C6*Assumptions!B10</f>
        <v>-4005907163.0952873</v>
      </c>
      <c r="D11" s="18">
        <f>-D6*Assumptions!B10</f>
        <v>-3826551319.4767685</v>
      </c>
      <c r="E11" s="18">
        <f>-E6*Assumptions!B10</f>
        <v>-3655225746.488699</v>
      </c>
      <c r="F11" s="18">
        <f>-F6*Assumptions!B10</f>
        <v>-3491570906.1026692</v>
      </c>
    </row>
    <row r="12" spans="1:6" x14ac:dyDescent="0.25">
      <c r="A12" t="s">
        <v>48</v>
      </c>
      <c r="B12" s="18">
        <f>-(B6-Assumptions!B29)*Assumptions!B11</f>
        <v>357676660.05948466</v>
      </c>
      <c r="C12" s="18">
        <f>-(C6-B6)*Assumptions!B11</f>
        <v>341662459.905616</v>
      </c>
      <c r="D12" s="18">
        <f>-(D6-C6)*Assumptions!B11</f>
        <v>326365260.98555964</v>
      </c>
      <c r="E12" s="18">
        <f>-(E6-D6)*Assumptions!B11</f>
        <v>311752961.1172284</v>
      </c>
      <c r="F12" s="18">
        <f>-(F6-E6)*Assumptions!B11</f>
        <v>297794895.42442596</v>
      </c>
    </row>
    <row r="13" spans="1:6" x14ac:dyDescent="0.25">
      <c r="A13" s="19" t="s">
        <v>49</v>
      </c>
      <c r="B13" s="20">
        <f>B9+B10+B11+B12</f>
        <v>17697694851.504955</v>
      </c>
      <c r="C13" s="20">
        <f>C9+C10+C11+C12</f>
        <v>16905318777.63155</v>
      </c>
      <c r="D13" s="20">
        <f>D9+D10+D11+D12</f>
        <v>16148419631.556665</v>
      </c>
      <c r="E13" s="20">
        <f>E9+E10+E11+E12</f>
        <v>15425409010.44038</v>
      </c>
      <c r="F13" s="20">
        <f>F9+F10+F11+F12</f>
        <v>14734769628.750238</v>
      </c>
    </row>
    <row r="14" spans="1:6" x14ac:dyDescent="0.25">
      <c r="A14" t="s">
        <v>50</v>
      </c>
      <c r="B14" s="21">
        <f>1/(1+Assumptions!$B$26)^(1-0.5*Assumptions!$B$32)</f>
        <v>0.9616466556037169</v>
      </c>
      <c r="C14" s="21">
        <f>1/(1+Assumptions!$B$26)^(2-0.5*Assumptions!$B$32)</f>
        <v>0.8892964869250918</v>
      </c>
      <c r="D14" s="21">
        <f>1/(1+Assumptions!$B$26)^(3-0.5*Assumptions!$B$32)</f>
        <v>0.8223896345387065</v>
      </c>
      <c r="E14" s="21">
        <f>1/(1+Assumptions!$B$26)^(4-0.5*Assumptions!$B$32)</f>
        <v>0.7605165666798323</v>
      </c>
      <c r="F14" s="21">
        <f>1/(1+Assumptions!$B$26)^(5-0.5*Assumptions!$B$32)</f>
        <v>0.7032985629967319</v>
      </c>
    </row>
    <row r="15" spans="1:6" x14ac:dyDescent="0.25">
      <c r="A15" s="19" t="s">
        <v>51</v>
      </c>
      <c r="B15" s="20">
        <f>B13*B14</f>
        <v>17018929065.844858</v>
      </c>
      <c r="C15" s="20">
        <f>C13*C14</f>
        <v>15033840599.296524</v>
      </c>
      <c r="D15" s="20">
        <f>D13*D14</f>
        <v>13280292919.17356</v>
      </c>
      <c r="E15" s="20">
        <f>E13*E14</f>
        <v>11731279100.252266</v>
      </c>
      <c r="F15" s="20">
        <f>F13*F14</f>
        <v>10362942305.98793</v>
      </c>
    </row>
    <row r="17" spans="1:2" x14ac:dyDescent="0.25">
      <c r="A17" s="22" t="s">
        <v>52</v>
      </c>
      <c r="B17" s="23">
        <f>SUM(B15:F15)</f>
        <v>67427283990.55514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14734769628.750238</v>
      </c>
    </row>
    <row r="5" spans="1:2" x14ac:dyDescent="0.25">
      <c r="A5" t="s">
        <v>56</v>
      </c>
      <c r="B5" s="18">
        <f>IF(Assumptions!$B$33=0,B4,B4-Forecast!F11-Forecast!F10-Forecast!F12)</f>
        <v>12671255959.869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0.27566854687346937</v>
      </c>
    </row>
    <row r="7" spans="1:2" x14ac:dyDescent="0.25">
      <c r="A7" t="s">
        <v>58</v>
      </c>
      <c r="B7" s="18">
        <f>-MAX(Forecast!F9,0)*B6</f>
        <v>-3493066717.518875</v>
      </c>
    </row>
    <row r="8" spans="1:2" x14ac:dyDescent="0.25">
      <c r="A8" t="s">
        <v>59</v>
      </c>
      <c r="B8" s="18">
        <f>IF(OR(Assumptions!$B$33=0,Assumptions!B12&lt;=0),B5,MAX(B5+B7,0))</f>
        <v>9178189242.350124</v>
      </c>
    </row>
    <row r="9" spans="1:2" x14ac:dyDescent="0.25">
      <c r="A9" t="s">
        <v>60</v>
      </c>
      <c r="B9" s="18">
        <f>B8*(1+Assumptions!B12)/(Assumptions!B26-Assumptions!B12)</f>
        <v>166930551547.6693</v>
      </c>
    </row>
    <row r="10" spans="1:2" x14ac:dyDescent="0.25">
      <c r="A10" t="s">
        <v>61</v>
      </c>
      <c r="B10" s="18">
        <f>B9/(1+Assumptions!B26)^(5-0.5*Assumptions!B32)</f>
        <v>117402017023.7277</v>
      </c>
    </row>
    <row r="11" spans="1:2" x14ac:dyDescent="0.25">
      <c r="A11" t="s">
        <v>62</v>
      </c>
      <c r="B11" s="18">
        <f>Forecast!B17+B10</f>
        <v>184829301014.28284</v>
      </c>
    </row>
    <row r="12" spans="1:2" x14ac:dyDescent="0.25">
      <c r="A12" t="s">
        <v>63</v>
      </c>
      <c r="B12" s="18">
        <f>-Assumptions!B30</f>
        <v>17229000000</v>
      </c>
    </row>
    <row r="13" spans="1:2" x14ac:dyDescent="0.25">
      <c r="A13" t="s">
        <v>64</v>
      </c>
      <c r="B13" s="18">
        <f>B11+B12</f>
        <v>202058301014.28284</v>
      </c>
    </row>
    <row r="14" spans="1:2" x14ac:dyDescent="0.25">
      <c r="A14" s="19" t="s">
        <v>65</v>
      </c>
      <c r="B14" s="24">
        <f>B13/Assumptions!B31</f>
        <v>60.460293541078045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21429790994.84012</v>
      </c>
    </row>
    <row r="18" spans="1:2" x14ac:dyDescent="0.25">
      <c r="A18" t="s">
        <v>60</v>
      </c>
      <c r="B18" s="18">
        <f>B17*Assumptions!B13</f>
        <v>168533747134.25092</v>
      </c>
    </row>
    <row r="19" spans="1:2" x14ac:dyDescent="0.25">
      <c r="A19" t="s">
        <v>61</v>
      </c>
      <c r="B19" s="18">
        <f>B18/(1+Assumptions!B26)^(5-0.5*Assumptions!B32)</f>
        <v>118529542175.97325</v>
      </c>
    </row>
    <row r="20" spans="1:2" x14ac:dyDescent="0.25">
      <c r="A20" t="s">
        <v>62</v>
      </c>
      <c r="B20" s="18">
        <f>Forecast!B17+B19</f>
        <v>185956826166.52838</v>
      </c>
    </row>
    <row r="21" spans="1:2" x14ac:dyDescent="0.25">
      <c r="A21" t="s">
        <v>63</v>
      </c>
      <c r="B21" s="18">
        <f>-Assumptions!B30</f>
        <v>17229000000</v>
      </c>
    </row>
    <row r="22" spans="1:2" x14ac:dyDescent="0.25">
      <c r="A22" t="s">
        <v>64</v>
      </c>
      <c r="B22" s="18">
        <f>B20+B21</f>
        <v>203185826166.52838</v>
      </c>
    </row>
    <row r="23" spans="1:2" x14ac:dyDescent="0.25">
      <c r="A23" s="19" t="s">
        <v>65</v>
      </c>
      <c r="B23" s="25">
        <f>B22/Assumptions!B31</f>
        <v>60.79767389782417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60.460293541078045</v>
      </c>
    </row>
    <row r="29" spans="1:2" x14ac:dyDescent="0.25">
      <c r="A29" s="19" t="s">
        <v>73</v>
      </c>
      <c r="B29" s="12">
        <f>B28/B26-1</f>
        <v>-0.3952761198131822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0.061357</v>
      </c>
      <c r="B5" s="31">
        <v>79.20381343825515</v>
      </c>
      <c r="C5" s="31">
        <v>81.96020693731224</v>
      </c>
      <c r="D5" s="31">
        <v>85.43076595037154</v>
      </c>
      <c r="E5" s="31">
        <v>89.95712018403862</v>
      </c>
      <c r="F5" s="31">
        <v>96.14013196365849</v>
      </c>
    </row>
    <row r="6" spans="1:6" x14ac:dyDescent="0.25">
      <c r="A6" s="30">
        <v>0.071357</v>
      </c>
      <c r="B6" s="31">
        <v>67.55279640069759</v>
      </c>
      <c r="C6" s="31">
        <v>68.80302719453562</v>
      </c>
      <c r="D6" s="31">
        <v>70.28988596842555</v>
      </c>
      <c r="E6" s="31">
        <v>72.099196638531</v>
      </c>
      <c r="F6" s="31">
        <v>74.36399489105358</v>
      </c>
    </row>
    <row r="7" spans="1:6" x14ac:dyDescent="0.25">
      <c r="A7" s="30">
        <v>0.081357</v>
      </c>
      <c r="B7" s="31">
        <v>59.372563243341965</v>
      </c>
      <c r="C7" s="31">
        <v>59.883952706221436</v>
      </c>
      <c r="D7" s="32">
        <v>60.459996392215366</v>
      </c>
      <c r="E7" s="31">
        <v>61.11957806296707</v>
      </c>
      <c r="F7" s="31">
        <v>61.889728582668944</v>
      </c>
    </row>
    <row r="8" spans="1:6" x14ac:dyDescent="0.25">
      <c r="A8" s="30">
        <v>0.091357</v>
      </c>
      <c r="B8" s="31">
        <v>53.342518302813545</v>
      </c>
      <c r="C8" s="31">
        <v>53.482538479135016</v>
      </c>
      <c r="D8" s="31">
        <v>53.62255865545645</v>
      </c>
      <c r="E8" s="31">
        <v>53.76257883177792</v>
      </c>
      <c r="F8" s="31">
        <v>53.90259900809938</v>
      </c>
    </row>
    <row r="9" spans="1:6" x14ac:dyDescent="0.25">
      <c r="A9" s="30">
        <v>0.101357</v>
      </c>
      <c r="B9" s="31">
        <v>49.11054519131073</v>
      </c>
      <c r="C9" s="31">
        <v>49.231675535415704</v>
      </c>
      <c r="D9" s="31">
        <v>49.35280587952067</v>
      </c>
      <c r="E9" s="31">
        <v>49.47393622362564</v>
      </c>
      <c r="F9" s="31">
        <v>49.59506656773061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236681000000</v>
      </c>
      <c r="C5" s="18">
        <v>247880000000</v>
      </c>
      <c r="D5" s="18">
        <v>263351000000</v>
      </c>
      <c r="E5" s="18">
        <v>271546000000</v>
      </c>
      <c r="F5" s="8" t="s">
        <v>84</v>
      </c>
    </row>
    <row r="6" spans="1:6" x14ac:dyDescent="0.25">
      <c r="A6" t="s">
        <v>44</v>
      </c>
      <c r="B6" s="18">
        <v>30393000000</v>
      </c>
      <c r="C6" s="18">
        <v>6237000000</v>
      </c>
      <c r="D6" s="18">
        <v>11983000000</v>
      </c>
      <c r="E6" s="18">
        <v>26756000000</v>
      </c>
      <c r="F6" s="8" t="s">
        <v>85</v>
      </c>
    </row>
    <row r="7" spans="1:6" x14ac:dyDescent="0.25">
      <c r="A7" t="s">
        <v>86</v>
      </c>
      <c r="B7" s="18">
        <v>8909000000</v>
      </c>
      <c r="C7" s="18">
        <v>10020000000</v>
      </c>
      <c r="D7" s="18">
        <v>11157000000</v>
      </c>
      <c r="E7" s="18">
        <v>10142000000</v>
      </c>
      <c r="F7" s="8" t="s">
        <v>87</v>
      </c>
    </row>
    <row r="8" spans="1:6" x14ac:dyDescent="0.25">
      <c r="A8" t="s">
        <v>88</v>
      </c>
      <c r="B8" s="18">
        <v>3768000000</v>
      </c>
      <c r="C8" s="18">
        <v>3640000000</v>
      </c>
      <c r="D8" s="18">
        <v>5470000000</v>
      </c>
      <c r="E8" s="18">
        <v>6197000000</v>
      </c>
      <c r="F8" s="8" t="s">
        <v>89</v>
      </c>
    </row>
    <row r="9" spans="1:6" x14ac:dyDescent="0.25">
      <c r="A9" t="s">
        <v>90</v>
      </c>
      <c r="B9" s="18">
        <v>-378000000</v>
      </c>
      <c r="C9" s="18">
        <v>-22817000000</v>
      </c>
      <c r="D9" s="18">
        <v>11999000000</v>
      </c>
      <c r="E9" s="18">
        <v>-619000000</v>
      </c>
      <c r="F9" s="8" t="s">
        <v>91</v>
      </c>
    </row>
    <row r="10" spans="1:6" x14ac:dyDescent="0.25">
      <c r="A10" t="s">
        <v>92</v>
      </c>
      <c r="B10" s="18">
        <v>40264000000</v>
      </c>
      <c r="C10" s="18">
        <v>45536000000</v>
      </c>
      <c r="D10" s="18">
        <v>54328000000</v>
      </c>
      <c r="E10" s="18">
        <v>42234000000</v>
      </c>
      <c r="F10" s="8" t="s">
        <v>93</v>
      </c>
    </row>
    <row r="11" spans="1:6" x14ac:dyDescent="0.25">
      <c r="A11" t="s">
        <v>94</v>
      </c>
      <c r="B11" s="18">
        <v>57493000000</v>
      </c>
      <c r="C11" s="18">
        <v>60763000000</v>
      </c>
      <c r="D11" s="18">
        <v>50344000000</v>
      </c>
      <c r="E11" s="18">
        <v>52040000000</v>
      </c>
      <c r="F11" s="8" t="s">
        <v>95</v>
      </c>
    </row>
    <row r="12" spans="1:6" x14ac:dyDescent="0.25">
      <c r="A12" t="s">
        <v>32</v>
      </c>
      <c r="B12" s="34">
        <v>3342000000</v>
      </c>
      <c r="C12" s="34">
        <v>3332000000</v>
      </c>
      <c r="D12" s="34">
        <v>3330000000</v>
      </c>
      <c r="E12" s="34">
        <v>3330000000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