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<sst xmlns="http://schemas.openxmlformats.org/spreadsheetml/2006/main" count="121" uniqueCount="108">
  <si>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Eversource Energy (ES)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</si>
  <si>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</si>
  <si>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</si>
  <si>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</si>
  <si>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</si>
  <si>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</si>
  <si>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</si>
  <si>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</si>
  <si>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</si>
  <si>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</si>
  <si>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</si>
  <si>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</si>
  <si>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</si>
  <si>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</si>
  <si>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</si>
  <si>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</si>
  <si>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</si>
  <si>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</si>
  <si>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</si>
  <si>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</si>
  <si>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</si>
  <si>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</si>
  <si>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</si>
  <si>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</si>
  <si>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</si>
  <si>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</si>
  <si>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</si>
  <si>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</si>
  <si>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</si>
  <si>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</si>
  <si>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</si>
  <si>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</si>
  <si>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</si>
  <si>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</si>
  <si>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</si>
  <si>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</si>
  <si>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</si>
  <si>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</si>
  <si>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</si>
  <si>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</si>
  <si>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</si>
  <si>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</si>
  <si>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</si>
  <si>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</si>
  <si>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</si>
  <si>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</si>
  <si>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</si>
  <si>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</si>
  <si>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</si>
  <si>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</si>
  <si>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</si>
  <si>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</si>
  <si>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</si>
  <si>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</si>
  <si>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</si>
  <si>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</si>
  <si>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</si>
  <si>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</si>
  <si>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</si>
  <si>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</si>
  <si>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</si>
  <si>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</si>
  <si>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</si>
  <si>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</si>
  <si>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</si>
  <si>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</si>
  <si>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</si>
  <si>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</si>
  <si>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</si>
  <si>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</si>
  <si>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</si>
  <si>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</si>
  <si>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</si>
  <si>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</si>
  <si>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</si>
  <si>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</si>
  <si>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</si>
  <si>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</si>
  <si>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</si>
  <si>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</si>
  <si>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</si>
  <si>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</si>
  <si>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</si>
  <si>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</si>
  <si>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</si>
  <si>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</si>
  <si>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</si>
  <si>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</si>
  <si>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</si>
  <si>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</si>
  <si>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</si>
  <si>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</si>
  <si>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</si>
  <si>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</si>
  <si>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</si>
  <si>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</si>
  <si>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</si>
  <si>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</si>
  <si>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</si>
  <si>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</si>
  <si>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</si>
  <si>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</si>
  <si>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</si>
  <si>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</si>
  <si>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</si>
  <si>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</si>
  <si>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33.2% of revenue against depreciation of 13.2%.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</si>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</sst>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0.009367191585240464</v>
      </c>
    </row>
    <row r="7" spans="1:2" x14ac:dyDescent="0.25">
      <c r="A7" t="s">
        <v>4</v>
      </c>
      <c r="B7" s="5">
        <v>0.20706758757212934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0.13223608096576545</v>
      </c>
    </row>
    <row r="10" spans="1:3" x14ac:dyDescent="0.25">
      <c r="A10" t="s">
        <v>7</v>
      </c>
      <c r="B10" s="5">
        <v>0.3319116128760483</v>
      </c>
      <c r="C10" s="6" t="s">
        <v>8</v>
      </c>
    </row>
    <row r="11" spans="1:2" x14ac:dyDescent="0.25">
      <c r="A11" t="s">
        <v>9</v>
      </c>
      <c r="B11" s="5">
        <v>0.020602534846020724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10.346711593902997</v>
      </c>
    </row>
    <row r="14" spans="1:3" x14ac:dyDescent="0.25">
      <c r="A14" t="s">
        <v>12</v>
      </c>
      <c r="B14" s="5">
        <v>0.06460317017122244</v>
      </c>
      <c r="C14" s="6" t="s">
        <v>13</v>
      </c>
    </row>
    <row r="15" spans="1:3" x14ac:dyDescent="0.25">
      <c r="A15" t="s">
        <v>14</v>
      </c>
      <c r="B15" s="5">
        <v>0.11076331568203081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0.78493</v>
      </c>
      <c r="C19" s="6" t="s">
        <v>21</v>
      </c>
    </row>
    <row r="20" spans="1:2" x14ac:dyDescent="0.25">
      <c r="A20" t="s">
        <v>22</v>
      </c>
      <c r="B20" s="9">
        <f>B17+B19*B18</f>
        <v>0.082142539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25821054976</v>
      </c>
    </row>
    <row r="23" spans="1:2" x14ac:dyDescent="0.25">
      <c r="A23" t="s">
        <v>26</v>
      </c>
      <c r="B23" s="10">
        <v>30114898000</v>
      </c>
    </row>
    <row r="24" spans="1:2" x14ac:dyDescent="0.25">
      <c r="A24" t="s">
        <v>27</v>
      </c>
      <c r="B24" s="9">
        <f>B22/(B22+B23)</f>
        <v>0.461618218734538</v>
      </c>
    </row>
    <row r="25" spans="1:2" x14ac:dyDescent="0.25">
      <c r="A25" t="s">
        <v>28</v>
      </c>
      <c r="B25" s="9">
        <f>1-B24</f>
        <v>0.538381781265462</v>
      </c>
    </row>
    <row r="26" spans="1:2" x14ac:dyDescent="0.25">
      <c r="A26" t="s">
        <v>29</v>
      </c>
      <c r="B26" s="11">
        <f>B24*B20+B25*B21*(1-B8)</f>
        <v>0.06460317017122244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13547244000</v>
      </c>
      <c r="C29" s="6" t="s">
        <v>32</v>
      </c>
    </row>
    <row r="30" spans="1:2" x14ac:dyDescent="0.25">
      <c r="A30" t="s">
        <v>33</v>
      </c>
      <c r="B30" s="10">
        <v>29979547000</v>
      </c>
    </row>
    <row r="31" spans="1:2" x14ac:dyDescent="0.25">
      <c r="A31" t="s">
        <v>34</v>
      </c>
      <c r="B31" s="12">
        <v>371259264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0.009367191585240464</v>
      </c>
      <c r="C5" s="5">
        <v>0.05273723090182281</v>
      </c>
      <c r="D5" s="5">
        <v>0.04927007703909496</v>
      </c>
      <c r="E5" s="5">
        <v>0.045802923176367104</v>
      </c>
      <c r="F5" s="5">
        <v>0.042335769313639256</v>
      </c>
      <c r="G5" s="5">
        <v>0.0388686154509114</v>
      </c>
      <c r="H5" s="5">
        <v>0.03540146158818355</v>
      </c>
      <c r="I5" s="5">
        <v>0.031934307725455705</v>
      </c>
      <c r="J5" s="5">
        <v>0.028467153862727853</v>
      </c>
      <c r="K5" s="5">
        <v>0.025</v>
      </c>
    </row>
    <row r="6" spans="1:11" x14ac:dyDescent="0.25">
      <c r="A6" t="s">
        <v>50</v>
      </c>
      <c r="B6" s="18">
        <f>Assumptions!B29*(1+B5)</f>
        <v>13674143630</v>
      </c>
      <c r="C6" s="18">
        <f>B6*(1+C5)</f>
        <v>14395280100</v>
      </c>
      <c r="D6" s="18">
        <f>C6*(1+D5)</f>
        <v>15104536659.526352</v>
      </c>
      <c r="E6" s="18">
        <f>D6*(1+E5)</f>
        <v>15796368591.757257</v>
      </c>
      <c r="F6" s="18">
        <f>E6*(1+F5)</f>
        <v>16465120008.451109</v>
      </c>
      <c r="G6" s="18">
        <f>F6*(1+G5)</f>
        <v>17105096426.412703</v>
      </c>
      <c r="H6" s="18">
        <f>G6*(1+H5)</f>
        <v>17710641840.514526</v>
      </c>
      <c r="I6" s="18">
        <f>H6*(1+I5)</f>
        <v>18276218927.06485</v>
      </c>
      <c r="J6" s="18">
        <f>I6*(1+J5)</f>
        <v>18796490863.290504</v>
      </c>
      <c r="K6" s="18">
        <f>J6*(1+K5)</f>
        <v>19266403134.872765</v>
      </c>
    </row>
    <row r="7" spans="1:11" x14ac:dyDescent="0.25">
      <c r="A7" t="s">
        <v>4</v>
      </c>
      <c r="B7" s="9">
        <f>Assumptions!B7</f>
        <v>0.20706758757212934</v>
      </c>
      <c r="C7" s="9">
        <f>Assumptions!B7</f>
        <v>0.20706758757212934</v>
      </c>
      <c r="D7" s="9">
        <f>Assumptions!B7</f>
        <v>0.20706758757212934</v>
      </c>
      <c r="E7" s="9">
        <f>Assumptions!B7</f>
        <v>0.20706758757212934</v>
      </c>
      <c r="F7" s="9">
        <f>Assumptions!B7</f>
        <v>0.20706758757212934</v>
      </c>
      <c r="G7" s="9">
        <f>Assumptions!B7</f>
        <v>0.20706758757212934</v>
      </c>
      <c r="H7" s="9">
        <f>Assumptions!B7</f>
        <v>0.20706758757212934</v>
      </c>
      <c r="I7" s="9">
        <f>Assumptions!B7</f>
        <v>0.20706758757212934</v>
      </c>
      <c r="J7" s="9">
        <f>Assumptions!B7</f>
        <v>0.20706758757212934</v>
      </c>
      <c r="K7" s="9">
        <f>Assumptions!B7</f>
        <v>0.20706758757212934</v>
      </c>
    </row>
    <row r="8" spans="1:11" x14ac:dyDescent="0.25">
      <c r="A8" t="s">
        <v>51</v>
      </c>
      <c r="B8" s="18">
        <f>B6*B7</f>
        <v>2831471933.5788994</v>
      </c>
      <c r="C8" s="18">
        <f>C6*C7</f>
        <v>2980795922.732081</v>
      </c>
      <c r="D8" s="18">
        <f>D6*D7</f>
        <v>3127659967.4829106</v>
      </c>
      <c r="E8" s="18">
        <f>E6*E7</f>
        <v>3270915936.695329</v>
      </c>
      <c r="F8" s="18">
        <f>F6*F7</f>
        <v>3409392679.235569</v>
      </c>
      <c r="G8" s="18">
        <f>G6*G7</f>
        <v>3541911052.205929</v>
      </c>
      <c r="H8" s="18">
        <f>H6*H7</f>
        <v>3667299880.2693596</v>
      </c>
      <c r="I8" s="18">
        <f>I6*I7</f>
        <v>3784412563.1674085</v>
      </c>
      <c r="J8" s="18">
        <f>J6*J7</f>
        <v>3892144017.883136</v>
      </c>
      <c r="K8" s="18">
        <f>K6*K7</f>
        <v>3989447618.3302135</v>
      </c>
    </row>
    <row r="9" spans="1:11" x14ac:dyDescent="0.25">
      <c r="A9" t="s">
        <v>52</v>
      </c>
      <c r="B9" s="18">
        <f>B8*(1-Assumptions!B8)</f>
        <v>2236862827.5273304</v>
      </c>
      <c r="C9" s="18">
        <f>C8*(1-Assumptions!B8)</f>
        <v>2354828778.958344</v>
      </c>
      <c r="D9" s="18">
        <f>D8*(1-Assumptions!B8)</f>
        <v>2470851374.3114996</v>
      </c>
      <c r="E9" s="18">
        <f>E8*(1-Assumptions!B8)</f>
        <v>2584023589.9893103</v>
      </c>
      <c r="F9" s="18">
        <f>F8*(1-Assumptions!B8)</f>
        <v>2693420216.5961</v>
      </c>
      <c r="G9" s="18">
        <f>G8*(1-Assumptions!B8)</f>
        <v>2798109731.242684</v>
      </c>
      <c r="H9" s="18">
        <f>H8*(1-Assumptions!B8)</f>
        <v>2897166905.412794</v>
      </c>
      <c r="I9" s="18">
        <f>I8*(1-Assumptions!B8)</f>
        <v>2989685924.9022527</v>
      </c>
      <c r="J9" s="18">
        <f>J8*(1-Assumptions!B8)</f>
        <v>3074793774.1276774</v>
      </c>
      <c r="K9" s="18">
        <f>K8*(1-Assumptions!B8)</f>
        <v>3151663618.480869</v>
      </c>
    </row>
    <row r="10" spans="1:11" x14ac:dyDescent="0.25">
      <c r="A10" t="s">
        <v>53</v>
      </c>
      <c r="B10" s="18">
        <f>B6*Assumptions!B9</f>
        <v>1808215164.1941857</v>
      </c>
      <c r="C10" s="18">
        <f>C6*Assumptions!B9</f>
        <v>1903575424.8284721</v>
      </c>
      <c r="D10" s="18">
        <f>D6*Assumptions!B9</f>
        <v>1997364732.659499</v>
      </c>
      <c r="E10" s="18">
        <f>E6*Assumptions!B9</f>
        <v>2088849876.064687</v>
      </c>
      <c r="F10" s="18">
        <f>F6*Assumptions!B9</f>
        <v>2177282942.5485854</v>
      </c>
      <c r="G10" s="18">
        <f>G6*Assumptions!B9</f>
        <v>2261910915.9703355</v>
      </c>
      <c r="H10" s="18">
        <f>H6*Assumptions!B9</f>
        <v>2341985868.377952</v>
      </c>
      <c r="I10" s="18">
        <f>I6*Assumptions!B9</f>
        <v>2416775565.787402</v>
      </c>
      <c r="J10" s="18">
        <f>J6*Assumptions!B9</f>
        <v>2485574287.6703534</v>
      </c>
      <c r="K10" s="18">
        <f>K6*Assumptions!B9</f>
        <v>2547713644.862112</v>
      </c>
    </row>
    <row r="11" spans="1:11" x14ac:dyDescent="0.25">
      <c r="A11" t="s">
        <v>54</v>
      </c>
      <c r="B11" s="18">
        <f>-B6*B19</f>
        <v>-4538607066.932042</v>
      </c>
      <c r="C11" s="18">
        <f>-C6*C19</f>
        <v>-4535990943.990182</v>
      </c>
      <c r="D11" s="18">
        <f>-D6*D19</f>
        <v>-4505588010.089642</v>
      </c>
      <c r="E11" s="18">
        <f>-E6*E19</f>
        <v>-4446436578.932855</v>
      </c>
      <c r="F11" s="18">
        <f>-F6*F19</f>
        <v>-4357918343.540812</v>
      </c>
      <c r="G11" s="18">
        <f>-G6*G19</f>
        <v>-4239785708.9302216</v>
      </c>
      <c r="H11" s="18">
        <f>-H6*H19</f>
        <v>-4092182844.145413</v>
      </c>
      <c r="I11" s="18">
        <f>-I6*I19</f>
        <v>-3915659631.859404</v>
      </c>
      <c r="J11" s="18">
        <f>-J6*J19</f>
        <v>-3711177848.249185</v>
      </c>
      <c r="K11" s="18">
        <f>-K6*K19</f>
        <v>-3480109088.910369</v>
      </c>
    </row>
    <row r="12" spans="1:11" x14ac:dyDescent="0.25">
      <c r="A12" t="s">
        <v>55</v>
      </c>
      <c r="B12" s="18">
        <f>-(B6-Assumptions!B29)*Assumptions!B11</f>
        <v>-2614454.0490221367</v>
      </c>
      <c r="C12" s="18">
        <f>-(C6-B6)*Assumptions!B11</f>
        <v>-14857239.25191138</v>
      </c>
      <c r="D12" s="18">
        <f>-(D6-C6)*Assumptions!B11</f>
        <v>-14612482.982410438</v>
      </c>
      <c r="E12" s="18">
        <f>-(E6-D6)*Assumptions!B11</f>
        <v>-14253491.49137708</v>
      </c>
      <c r="F12" s="18">
        <f>-(F6-E6)*Assumptions!B11</f>
        <v>-13777974.365760801</v>
      </c>
      <c r="G12" s="18">
        <f>-(G6-F6)*Assumptions!B11</f>
        <v>-13185136.451685255</v>
      </c>
      <c r="H12" s="18">
        <f>-(H6-G6)*Assumptions!B11</f>
        <v>-12475770.494880874</v>
      </c>
      <c r="I12" s="18">
        <f>-(I6-H6)*Assumptions!B11</f>
        <v>-11652321.633763919</v>
      </c>
      <c r="J12" s="18">
        <f>-(J6-I6)*Assumptions!B11</f>
        <v>-10718920.695495721</v>
      </c>
      <c r="K12" s="18">
        <f>-(K6-J6)*Assumptions!B11</f>
        <v>-9681383.949846268</v>
      </c>
    </row>
    <row r="13" spans="1:11" x14ac:dyDescent="0.25">
      <c r="A13" s="19" t="s">
        <v>56</v>
      </c>
      <c r="B13" s="20">
        <f>B9+B10+B11+B12</f>
        <v>-496143529.2595481</v>
      </c>
      <c r="C13" s="20">
        <f>C9+C10+C11+C12</f>
        <v>-292443979.4552772</v>
      </c>
      <c r="D13" s="20">
        <f>D9+D10+D11+D12</f>
        <v>-51984386.101053245</v>
      </c>
      <c r="E13" s="20">
        <f>E9+E10+E11+E12</f>
        <v>212183395.6297653</v>
      </c>
      <c r="F13" s="20">
        <f>F9+F10+F11+F12</f>
        <v>499006841.2381134</v>
      </c>
      <c r="G13" s="20">
        <f>G9+G10+G11+G12</f>
        <v>807049801.8311125</v>
      </c>
      <c r="H13" s="20">
        <f>H9+H10+H11+H12</f>
        <v>1134494159.1504529</v>
      </c>
      <c r="I13" s="20">
        <f>I9+I10+I11+I12</f>
        <v>1479149537.1964872</v>
      </c>
      <c r="J13" s="20">
        <f>J9+J10+J11+J12</f>
        <v>1838471292.8533502</v>
      </c>
      <c r="K13" s="20">
        <f>K9+K10+K11+K12</f>
        <v>2209586790.482766</v>
      </c>
    </row>
    <row r="14" spans="1:11" x14ac:dyDescent="0.25">
      <c r="A14" t="s">
        <v>57</v>
      </c>
      <c r="B14" s="21">
        <f>1/(1+Assumptions!$B$26)^(1-0.5*Assumptions!$B$32)</f>
        <v>0.9691837469054492</v>
      </c>
      <c r="C14" s="21">
        <f>1/(1+Assumptions!$B$26)^(2-0.5*Assumptions!$B$32)</f>
        <v>0.9103709006892899</v>
      </c>
      <c r="D14" s="21">
        <f>1/(1+Assumptions!$B$26)^(3-0.5*Assumptions!$B$32)</f>
        <v>0.8551269864647061</v>
      </c>
      <c r="E14" s="21">
        <f>1/(1+Assumptions!$B$26)^(4-0.5*Assumptions!$B$32)</f>
        <v>0.8032354312144064</v>
      </c>
      <c r="F14" s="21">
        <f>1/(1+Assumptions!$B$26)^(5-0.5*Assumptions!$B$32)</f>
        <v>0.754492804192214</v>
      </c>
      <c r="G14" s="21">
        <f>1/(1+Assumptions!$B$26)^(6-0.5*Assumptions!$B$32)</f>
        <v>0.7087080194124045</v>
      </c>
      <c r="H14" s="21">
        <f>1/(1+Assumptions!$B$26)^(7-0.5*Assumptions!$B$32)</f>
        <v>0.6657015865342778</v>
      </c>
      <c r="I14" s="21">
        <f>1/(1+Assumptions!$B$26)^(8-0.5*Assumptions!$B$32)</f>
        <v>0.6253049072051998</v>
      </c>
      <c r="J14" s="21">
        <f>1/(1+Assumptions!$B$26)^(9-0.5*Assumptions!$B$32)</f>
        <v>0.5873596141035637</v>
      </c>
      <c r="K14" s="21">
        <f>1/(1+Assumptions!$B$26)^(10-0.5*Assumptions!$B$32)</f>
        <v>0.5517169500905182</v>
      </c>
    </row>
    <row r="15" spans="1:11" x14ac:dyDescent="0.25">
      <c r="A15" s="19" t="s">
        <v>58</v>
      </c>
      <c r="B15" s="20">
        <f>B13*B14</f>
        <v>-480854244.6906622</v>
      </c>
      <c r="C15" s="20">
        <f>C13*C14</f>
        <v>-266232488.9778609</v>
      </c>
      <c r="D15" s="20">
        <f>D13*D14</f>
        <v>-44453251.42981141</v>
      </c>
      <c r="E15" s="20">
        <f>E13*E14</f>
        <v>170433221.28521153</v>
      </c>
      <c r="F15" s="20">
        <f>F13*F14</f>
        <v>376497070.9568431</v>
      </c>
      <c r="G15" s="20">
        <f>G13*G14</f>
        <v>571962666.6229012</v>
      </c>
      <c r="H15" s="20">
        <f>H13*H14</f>
        <v>755234561.6603279</v>
      </c>
      <c r="I15" s="20">
        <f>I13*I14</f>
        <v>924919464.0992637</v>
      </c>
      <c r="J15" s="20">
        <f>J13*J14</f>
        <v>1079843789.1108236</v>
      </c>
      <c r="K15" s="20">
        <f>K13*K14</f>
        <v>1219066485.0054486</v>
      </c>
    </row>
    <row r="17" spans="1:2" x14ac:dyDescent="0.25">
      <c r="A17" s="22" t="s">
        <v>59</v>
      </c>
      <c r="B17" s="23">
        <f>SUM(B15:K15)</f>
        <v>4306417273.642485</v>
      </c>
    </row>
    <row r="19" spans="1:11" x14ac:dyDescent="0.25">
      <c r="A19" t="s">
        <v>7</v>
      </c>
      <c r="B19" s="9">
        <f>Assumptions!$B$10+($B$20-Assumptions!$B$10)*0/9</f>
        <v>0.3319116128760483</v>
      </c>
      <c r="C19" s="9">
        <f>Assumptions!$B$10+($B$20-Assumptions!$B$10)*1/9</f>
        <v>0.31510265256944753</v>
      </c>
      <c r="D19" s="9">
        <f>Assumptions!$B$10+($B$20-Assumptions!$B$10)*2/9</f>
        <v>0.2982936922628468</v>
      </c>
      <c r="E19" s="9">
        <f>Assumptions!$B$10+($B$20-Assumptions!$B$10)*3/9</f>
        <v>0.281484731956246</v>
      </c>
      <c r="F19" s="9">
        <f>Assumptions!$B$10+($B$20-Assumptions!$B$10)*4/9</f>
        <v>0.2646757716496453</v>
      </c>
      <c r="G19" s="9">
        <f>Assumptions!$B$10+($B$20-Assumptions!$B$10)*5/9</f>
        <v>0.24786681134304447</v>
      </c>
      <c r="H19" s="9">
        <f>Assumptions!$B$10+($B$20-Assumptions!$B$10)*6/9</f>
        <v>0.23105785103644372</v>
      </c>
      <c r="I19" s="9">
        <f>Assumptions!$B$10+($B$20-Assumptions!$B$10)*7/9</f>
        <v>0.21424889072984293</v>
      </c>
      <c r="J19" s="9">
        <f>Assumptions!$B$10+($B$20-Assumptions!$B$10)*8/9</f>
        <v>0.1974399304232422</v>
      </c>
      <c r="K19" s="9">
        <f>Assumptions!$B$10+($B$20-Assumptions!$B$10)*9/9</f>
        <v>0.18063097011664142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0.18063097011664142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2209586790.482766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3478488950.8586454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0.38697791352561645</v>
      </c>
    </row>
    <row r="7" spans="1:2" x14ac:dyDescent="0.25">
      <c r="A7" t="s">
        <v>66</v>
      </c>
      <c r="B7" s="18">
        <f>-MAX(B5,0)*B6</f>
        <v>-1346098396.4251893</v>
      </c>
    </row>
    <row r="8" spans="1:2" x14ac:dyDescent="0.25">
      <c r="A8" t="s">
        <v>67</v>
      </c>
      <c r="B8" s="18">
        <f>IF(OR(Assumptions!$B$33=0,Assumptions!B12&lt;=0),B5,MAX(B5+B7,0))</f>
        <v>2132390554.4334562</v>
      </c>
    </row>
    <row r="9" spans="1:2" x14ac:dyDescent="0.25">
      <c r="A9" t="s">
        <v>68</v>
      </c>
      <c r="B9" s="18">
        <f>B8*(1+Assumptions!B12)/(Assumptions!B26-Assumptions!B12)</f>
        <v>55190034253.43275</v>
      </c>
    </row>
    <row r="10" spans="1:2" x14ac:dyDescent="0.25">
      <c r="A10" t="s">
        <v>69</v>
      </c>
      <c r="B10" s="18">
        <f>B9/(1+Assumptions!B26)^(10-0.5*Assumptions!B32)</f>
        <v>30449277373.69515</v>
      </c>
    </row>
    <row r="11" spans="1:2" x14ac:dyDescent="0.25">
      <c r="A11" t="s">
        <v>70</v>
      </c>
      <c r="B11" s="18">
        <f>Forecast!B17+B10</f>
        <v>34755694647.33763</v>
      </c>
    </row>
    <row r="12" spans="1:2" x14ac:dyDescent="0.25">
      <c r="A12" t="s">
        <v>71</v>
      </c>
      <c r="B12" s="18">
        <f>-Assumptions!B30</f>
        <v>-29979547000</v>
      </c>
    </row>
    <row r="13" spans="1:2" x14ac:dyDescent="0.25">
      <c r="A13" t="s">
        <v>72</v>
      </c>
      <c r="B13" s="18">
        <f>B11+B12</f>
        <v>4776147647.337631</v>
      </c>
    </row>
    <row r="14" spans="1:2" x14ac:dyDescent="0.25">
      <c r="A14" s="19" t="s">
        <v>73</v>
      </c>
      <c r="B14" s="24">
        <f>B13/Assumptions!B31</f>
        <v>12.864723147588935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6537161263.192326</v>
      </c>
    </row>
    <row r="18" spans="1:2" x14ac:dyDescent="0.25">
      <c r="A18" t="s">
        <v>68</v>
      </c>
      <c r="B18" s="18">
        <f>B17*Assumptions!B13</f>
        <v>67638122233.085594</v>
      </c>
    </row>
    <row r="19" spans="1:2" x14ac:dyDescent="0.25">
      <c r="A19" t="s">
        <v>69</v>
      </c>
      <c r="B19" s="18">
        <f>B18/(1+Assumptions!B26)^(10-0.5*Assumptions!B32)</f>
        <v>37317098508.28766</v>
      </c>
    </row>
    <row r="20" spans="1:2" x14ac:dyDescent="0.25">
      <c r="A20" t="s">
        <v>70</v>
      </c>
      <c r="B20" s="18">
        <f>Forecast!B17+B19</f>
        <v>41623515781.930145</v>
      </c>
    </row>
    <row r="21" spans="1:2" x14ac:dyDescent="0.25">
      <c r="A21" t="s">
        <v>71</v>
      </c>
      <c r="B21" s="18">
        <f>-Assumptions!B30</f>
        <v>-29979547000</v>
      </c>
    </row>
    <row r="22" spans="1:2" x14ac:dyDescent="0.25">
      <c r="A22" t="s">
        <v>72</v>
      </c>
      <c r="B22" s="18">
        <f>B20+B21</f>
        <v>11643968781.930145</v>
      </c>
    </row>
    <row r="23" spans="1:2" x14ac:dyDescent="0.25">
      <c r="A23" s="19" t="s">
        <v>73</v>
      </c>
      <c r="B23" s="25">
        <f>B22/Assumptions!B31</f>
        <v>31.363443046447845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68.55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12.864723147588935</v>
      </c>
    </row>
    <row r="29" spans="1:2" x14ac:dyDescent="0.25">
      <c r="A29" s="19" t="s">
        <v>81</v>
      </c>
      <c r="B29" s="11">
        <f>B28/B26-1</f>
        <v>-0.8123308074749973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0.044603</v>
      </c>
      <c r="B5" s="31">
        <v>80.1711751791699</v>
      </c>
      <c r="C5" s="31">
        <v>80.02565780055856</v>
      </c>
      <c r="D5" s="31">
        <v>81.19881841934404</v>
      </c>
      <c r="E5" s="31">
        <v>85.04518486959836</v>
      </c>
      <c r="F5" s="31">
        <v>95.74033639447796</v>
      </c>
    </row>
    <row r="6" spans="1:6" x14ac:dyDescent="0.25">
      <c r="A6" s="30">
        <v>0.054603</v>
      </c>
      <c r="B6" s="31">
        <v>40.31076416720424</v>
      </c>
      <c r="C6" s="31">
        <v>38.07650879248124</v>
      </c>
      <c r="D6" s="31">
        <v>35.8422534177582</v>
      </c>
      <c r="E6" s="31">
        <v>33.60799804303522</v>
      </c>
      <c r="F6" s="31">
        <v>31.373742668312154</v>
      </c>
    </row>
    <row r="7" spans="1:6" x14ac:dyDescent="0.25">
      <c r="A7" s="30">
        <v>0.064603</v>
      </c>
      <c r="B7" s="31">
        <v>16.4312079803048</v>
      </c>
      <c r="C7" s="31">
        <v>14.648129506945448</v>
      </c>
      <c r="D7" s="32">
        <v>12.865051033586074</v>
      </c>
      <c r="E7" s="31">
        <v>11.081972560226731</v>
      </c>
      <c r="F7" s="31">
        <v>9.298894086867325</v>
      </c>
    </row>
    <row r="8" spans="1:6" x14ac:dyDescent="0.25">
      <c r="A8" s="30">
        <v>0.074603</v>
      </c>
      <c r="B8" s="31">
        <v>-0.7764940674913676</v>
      </c>
      <c r="C8" s="31">
        <v>-2.235729328472002</v>
      </c>
      <c r="D8" s="31">
        <v>-3.6949645894526366</v>
      </c>
      <c r="E8" s="31">
        <v>-5.154199850433261</v>
      </c>
      <c r="F8" s="31">
        <v>-6.613435111413906</v>
      </c>
    </row>
    <row r="9" spans="1:6" x14ac:dyDescent="0.25">
      <c r="A9" s="30">
        <v>0.084603</v>
      </c>
      <c r="B9" s="31">
        <v>-13.696109296644954</v>
      </c>
      <c r="C9" s="31">
        <v>-14.913224887059116</v>
      </c>
      <c r="D9" s="31">
        <v>-16.130340477473307</v>
      </c>
      <c r="E9" s="31">
        <v>-17.347456067887467</v>
      </c>
      <c r="F9" s="31">
        <v>-18.564571658301663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13547244000</v>
      </c>
      <c r="C5" s="18">
        <v>11900809000</v>
      </c>
      <c r="D5" s="18">
        <v>11910705000</v>
      </c>
      <c r="E5" s="18">
        <v>12289336000</v>
      </c>
      <c r="F5" s="6" t="s">
        <v>91</v>
      </c>
    </row>
    <row r="6" spans="1:6" x14ac:dyDescent="0.25">
      <c r="A6" t="s">
        <v>51</v>
      </c>
      <c r="B6" s="18">
        <v>2988589000</v>
      </c>
      <c r="C6" s="18">
        <v>2705709000</v>
      </c>
      <c r="D6" s="18">
        <v>2399335000</v>
      </c>
      <c r="E6" s="18">
        <v>2198154000</v>
      </c>
      <c r="F6" s="6" t="s">
        <v>92</v>
      </c>
    </row>
    <row r="7" spans="1:6" x14ac:dyDescent="0.25">
      <c r="A7" t="s">
        <v>93</v>
      </c>
      <c r="B7" s="18">
        <v>2404487000</v>
      </c>
      <c r="C7" s="18">
        <v>1776367000</v>
      </c>
      <c r="D7" s="18">
        <v>815723000</v>
      </c>
      <c r="E7" s="18">
        <v>1643138000</v>
      </c>
      <c r="F7" s="6" t="s">
        <v>94</v>
      </c>
    </row>
    <row r="8" spans="1:6" x14ac:dyDescent="0.25">
      <c r="A8" t="s">
        <v>95</v>
      </c>
      <c r="B8" s="18">
        <v>4158669000</v>
      </c>
      <c r="C8" s="18">
        <v>4480529000</v>
      </c>
      <c r="D8" s="18">
        <v>4336849000</v>
      </c>
      <c r="E8" s="18">
        <v>3441852000</v>
      </c>
      <c r="F8" s="6" t="s">
        <v>96</v>
      </c>
    </row>
    <row r="9" spans="1:6" x14ac:dyDescent="0.25">
      <c r="A9" t="s">
        <v>97</v>
      </c>
      <c r="B9" s="18">
        <v>54962000</v>
      </c>
      <c r="C9" s="18">
        <v>310507000</v>
      </c>
      <c r="D9" s="18">
        <v>441875000</v>
      </c>
      <c r="E9" s="18">
        <v>120161000</v>
      </c>
      <c r="F9" s="6" t="s">
        <v>98</v>
      </c>
    </row>
    <row r="10" spans="1:6" x14ac:dyDescent="0.25">
      <c r="A10" t="s">
        <v>99</v>
      </c>
      <c r="B10" s="18">
        <v>30114898000</v>
      </c>
      <c r="C10" s="18">
        <v>29114852000</v>
      </c>
      <c r="D10" s="18">
        <v>26754377000</v>
      </c>
      <c r="E10" s="18">
        <v>22940025000</v>
      </c>
      <c r="F10" s="6" t="s">
        <v>100</v>
      </c>
    </row>
    <row r="11" spans="1:6" x14ac:dyDescent="0.25">
      <c r="A11" t="s">
        <v>101</v>
      </c>
      <c r="B11" s="18">
        <v>135351000</v>
      </c>
      <c r="C11" s="18">
        <v>26656000</v>
      </c>
      <c r="D11" s="18">
        <v>53873000</v>
      </c>
      <c r="E11" s="18">
        <v>374603000</v>
      </c>
      <c r="F11" s="6" t="s">
        <v>102</v>
      </c>
    </row>
    <row r="12" spans="1:6" x14ac:dyDescent="0.25">
      <c r="A12" t="s">
        <v>34</v>
      </c>
      <c r="B12" s="34">
        <v>371259264</v>
      </c>
      <c r="C12" s="34">
        <v>357779408</v>
      </c>
      <c r="D12" s="34">
        <v>349840481</v>
      </c>
      <c r="E12" s="34">
        <v>347246768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