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<sst xmlns="http://schemas.openxmlformats.org/spreadsheetml/2006/main" count="113" uniqueCount="101">
  <si>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Eversource Energy (ES)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</si>
  <si>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</si>
  <si>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</si>
  <si>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</si>
  <si>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</si>
  <si>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</si>
  <si>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</si>
  <si>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</si>
  <si>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</si>
  <si>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</si>
  <si>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</si>
  <si>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</si>
  <si>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</si>
  <si>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</si>
  <si>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</si>
  <si>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</si>
  <si>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</si>
  <si>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</si>
  <si>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</si>
  <si>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</si>
  <si>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</si>
  <si>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</si>
  <si>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</si>
  <si>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</si>
  <si>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</si>
  <si>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</si>
  <si>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</si>
  <si>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</si>
  <si>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</si>
  <si>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</si>
  <si>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</si>
  <si>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</si>
  <si>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</si>
  <si>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</si>
  <si>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</si>
  <si>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</si>
  <si>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</si>
  <si>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</si>
  <si>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</si>
  <si>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</si>
  <si>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</si>
  <si>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</si>
  <si>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</si>
  <si>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</si>
  <si>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</si>
  <si>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</si>
  <si>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</si>
  <si>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</si>
  <si>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</si>
  <si>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</si>
  <si>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</si>
  <si>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</si>
  <si>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</si>
  <si>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</si>
  <si>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</si>
  <si>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</si>
  <si>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</si>
  <si>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</si>
  <si>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</si>
  <si>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</si>
  <si>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</si>
  <si>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</si>
  <si>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</si>
  <si>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</si>
  <si>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</si>
  <si>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</si>
  <si>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</si>
  <si>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</si>
  <si>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</si>
  <si>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</si>
  <si>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</si>
  <si>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</si>
  <si>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</si>
  <si>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</si>
  <si>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</si>
  <si>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</si>
  <si>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</si>
  <si>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</si>
  <si>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</si>
  <si>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</si>
  <si>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</si>
  <si>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</si>
  <si>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</si>
  <si>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</si>
  <si>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</si>
  <si>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</si>
  <si>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</si>
  <si>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</si>
  <si>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</si>
  <si>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</si>
  <si>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</si>
  <si>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</si>
  <si>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</si>
  <si>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</si>
  <si>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</si>
  <si>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</si>
  <si>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</si>
  <si>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</si>
  <si>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</si>
  <si>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33.2% of revenue against depreciation of 13.2%.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</si>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</sst>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0.033017102123918285</v>
      </c>
    </row>
    <row r="7" spans="1:2" x14ac:dyDescent="0.25">
      <c r="A7" t="s">
        <v>5</v>
      </c>
      <c r="B7" s="6">
        <v>0.20706758757212934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0.13223608096576545</v>
      </c>
    </row>
    <row r="10" spans="1:2" x14ac:dyDescent="0.25">
      <c r="A10" t="s">
        <v>8</v>
      </c>
      <c r="B10" s="6">
        <v>0.3319116128760483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10.288741061316399</v>
      </c>
    </row>
    <row r="14" spans="1:3" x14ac:dyDescent="0.25">
      <c r="A14" t="s">
        <v>12</v>
      </c>
      <c r="B14" s="6">
        <v>0.0644165258309096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0.79766</v>
      </c>
      <c r="C19" s="8" t="s">
        <v>19</v>
      </c>
    </row>
    <row r="20" spans="1:2" x14ac:dyDescent="0.25">
      <c r="A20" t="s">
        <v>20</v>
      </c>
      <c r="B20" s="10">
        <f>B17+B19*B18</f>
        <v>0.0938513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25508415488</v>
      </c>
    </row>
    <row r="23" spans="1:2" x14ac:dyDescent="0.25">
      <c r="A23" t="s">
        <v>24</v>
      </c>
      <c r="B23" s="11">
        <v>30114898000</v>
      </c>
    </row>
    <row r="24" spans="1:2" x14ac:dyDescent="0.25">
      <c r="A24" t="s">
        <v>25</v>
      </c>
      <c r="B24" s="10">
        <f>B22/(B22+B23)</f>
        <v>0.4585921601650557</v>
      </c>
    </row>
    <row r="25" spans="1:2" x14ac:dyDescent="0.25">
      <c r="A25" t="s">
        <v>26</v>
      </c>
      <c r="B25" s="10">
        <f>1-B24</f>
        <v>0.5414078398349442</v>
      </c>
    </row>
    <row r="26" spans="1:2" x14ac:dyDescent="0.25">
      <c r="A26" t="s">
        <v>27</v>
      </c>
      <c r="B26" s="12">
        <f>B24*B20+B25*B21*(1-B8)</f>
        <v>0.0644165258309096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13547244000</v>
      </c>
      <c r="C29" s="8" t="s">
        <v>30</v>
      </c>
    </row>
    <row r="30" spans="1:2" x14ac:dyDescent="0.25">
      <c r="A30" t="s">
        <v>31</v>
      </c>
      <c r="B30" s="11">
        <v>29979547000</v>
      </c>
    </row>
    <row r="31" spans="1:2" x14ac:dyDescent="0.25">
      <c r="A31" t="s">
        <v>32</v>
      </c>
      <c r="B31" s="13">
        <v>371259264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0.033017102123918285</v>
      </c>
      <c r="C5" s="10">
        <f>Assumptions!B6</f>
        <v>0.033017102123918285</v>
      </c>
      <c r="D5" s="10">
        <f>Assumptions!B6</f>
        <v>0.033017102123918285</v>
      </c>
      <c r="E5" s="10">
        <f>Assumptions!B6</f>
        <v>0.033017102123918285</v>
      </c>
      <c r="F5" s="10">
        <f>Assumptions!B6</f>
        <v>0.033017102123918285</v>
      </c>
    </row>
    <row r="6" spans="1:6" x14ac:dyDescent="0.25">
      <c r="A6" t="s">
        <v>43</v>
      </c>
      <c r="B6" s="18">
        <f>Assumptions!B29*(1+B5)</f>
        <v>13994534738.64564</v>
      </c>
      <c r="C6" s="18">
        <f>B6*(1+C5)</f>
        <v>14456593721.288225</v>
      </c>
      <c r="D6" s="18">
        <f>C6*(1+D5)</f>
        <v>14933908552.547995</v>
      </c>
      <c r="E6" s="18">
        <f>D6*(1+E5)</f>
        <v>15426982936.33673</v>
      </c>
      <c r="F6" s="18">
        <f>E6*(1+F5)</f>
        <v>15936337207.409704</v>
      </c>
    </row>
    <row r="7" spans="1:6" x14ac:dyDescent="0.25">
      <c r="A7" t="s">
        <v>5</v>
      </c>
      <c r="B7" s="10">
        <f>Assumptions!B7</f>
        <v>0.20706758757212934</v>
      </c>
      <c r="C7" s="10">
        <f>Assumptions!B7</f>
        <v>0.20706758757212934</v>
      </c>
      <c r="D7" s="10">
        <f>Assumptions!B7</f>
        <v>0.20706758757212934</v>
      </c>
      <c r="E7" s="10">
        <f>Assumptions!B7</f>
        <v>0.20706758757212934</v>
      </c>
      <c r="F7" s="10">
        <f>Assumptions!B7</f>
        <v>0.20706758757212934</v>
      </c>
    </row>
    <row r="8" spans="1:6" x14ac:dyDescent="0.25">
      <c r="A8" t="s">
        <v>44</v>
      </c>
      <c r="B8" s="18">
        <f>B6*B7</f>
        <v>2897814547.525712</v>
      </c>
      <c r="C8" s="18">
        <f>C6*C7</f>
        <v>2993491986.377545</v>
      </c>
      <c r="D8" s="18">
        <f>D6*D7</f>
        <v>3092328416.9989033</v>
      </c>
      <c r="E8" s="18">
        <f>E6*E7</f>
        <v>3194428140.1436505</v>
      </c>
      <c r="F8" s="18">
        <f>F6*F7</f>
        <v>3299898900.274292</v>
      </c>
    </row>
    <row r="9" spans="1:6" x14ac:dyDescent="0.25">
      <c r="A9" t="s">
        <v>45</v>
      </c>
      <c r="B9" s="18">
        <f>B8*(1-Assumptions!B8)</f>
        <v>2289273492.5453124</v>
      </c>
      <c r="C9" s="18">
        <f>C8*(1-Assumptions!B8)</f>
        <v>2364858669.2382607</v>
      </c>
      <c r="D9" s="18">
        <f>D8*(1-Assumptions!B8)</f>
        <v>2442939449.429134</v>
      </c>
      <c r="E9" s="18">
        <f>E8*(1-Assumptions!B8)</f>
        <v>2523598230.713484</v>
      </c>
      <c r="F9" s="18">
        <f>F8*(1-Assumptions!B8)</f>
        <v>2606920131.216691</v>
      </c>
    </row>
    <row r="10" spans="1:6" x14ac:dyDescent="0.25">
      <c r="A10" t="s">
        <v>46</v>
      </c>
      <c r="B10" s="18">
        <f>B6*Assumptions!B9</f>
        <v>1850582428.777762</v>
      </c>
      <c r="C10" s="18">
        <f>C6*Assumptions!B9</f>
        <v>1911683297.8174462</v>
      </c>
      <c r="D10" s="18">
        <f>D6*Assumptions!B9</f>
        <v>1974801540.4900737</v>
      </c>
      <c r="E10" s="18">
        <f>E6*Assumptions!B9</f>
        <v>2040003764.6269057</v>
      </c>
      <c r="F10" s="18">
        <f>F6*Assumptions!B9</f>
        <v>2107358777.2567701</v>
      </c>
    </row>
    <row r="11" spans="1:6" x14ac:dyDescent="0.25">
      <c r="A11" t="s">
        <v>47</v>
      </c>
      <c r="B11" s="18">
        <f>-B6*Assumptions!B10</f>
        <v>-4644948596.5537615</v>
      </c>
      <c r="C11" s="18">
        <f>-C6*Assumptions!B10</f>
        <v>-4798311338.726528</v>
      </c>
      <c r="D11" s="18">
        <f>-D6*Assumptions!B10</f>
        <v>-4956737674.219617</v>
      </c>
      <c r="E11" s="18">
        <f>-E6*Assumptions!B10</f>
        <v>-5120394788.210799</v>
      </c>
      <c r="F11" s="18">
        <f>-F6*Assumptions!B10</f>
        <v>-5289455385.847935</v>
      </c>
    </row>
    <row r="12" spans="1:6" x14ac:dyDescent="0.25">
      <c r="A12" t="s">
        <v>48</v>
      </c>
      <c r="B12" s="18">
        <f>-(B6-Assumptions!B29)*Assumptions!B11</f>
        <v>447290738.6456394</v>
      </c>
      <c r="C12" s="18">
        <f>-(C6-B6)*Assumptions!B11</f>
        <v>462058982.64258575</v>
      </c>
      <c r="D12" s="18">
        <f>-(D6-C6)*Assumptions!B11</f>
        <v>477314831.25976944</v>
      </c>
      <c r="E12" s="18">
        <f>-(E6-D6)*Assumptions!B11</f>
        <v>493074383.78873444</v>
      </c>
      <c r="F12" s="18">
        <f>-(F6-E6)*Assumptions!B11</f>
        <v>509354271.07297516</v>
      </c>
    </row>
    <row r="13" spans="1:6" x14ac:dyDescent="0.25">
      <c r="A13" s="19" t="s">
        <v>49</v>
      </c>
      <c r="B13" s="20">
        <f>B9+B10+B11+B12</f>
        <v>-57801936.58504772</v>
      </c>
      <c r="C13" s="20">
        <f>C9+C10+C11+C12</f>
        <v>-59710389.028235435</v>
      </c>
      <c r="D13" s="20">
        <f>D9+D10+D11+D12</f>
        <v>-61681853.04063988</v>
      </c>
      <c r="E13" s="20">
        <f>E9+E10+E11+E12</f>
        <v>-63718409.08167553</v>
      </c>
      <c r="F13" s="20">
        <f>F9+F10+F11+F12</f>
        <v>-65822206.30149841</v>
      </c>
    </row>
    <row r="14" spans="1:6" x14ac:dyDescent="0.25">
      <c r="A14" t="s">
        <v>50</v>
      </c>
      <c r="B14" s="21">
        <f>1/(1+Assumptions!$B$26)^(1-0.5*Assumptions!$B$32)</f>
        <v>0.9692687158661676</v>
      </c>
      <c r="C14" s="21">
        <f>1/(1+Assumptions!$B$26)^(2-0.5*Assumptions!$B$32)</f>
        <v>0.9106103600839276</v>
      </c>
      <c r="D14" s="21">
        <f>1/(1+Assumptions!$B$26)^(3-0.5*Assumptions!$B$32)</f>
        <v>0.855501899853615</v>
      </c>
      <c r="E14" s="21">
        <f>1/(1+Assumptions!$B$26)^(4-0.5*Assumptions!$B$32)</f>
        <v>0.8037285020408617</v>
      </c>
      <c r="F14" s="21">
        <f>1/(1+Assumptions!$B$26)^(5-0.5*Assumptions!$B$32)</f>
        <v>0.7550883348165339</v>
      </c>
    </row>
    <row r="15" spans="1:6" x14ac:dyDescent="0.25">
      <c r="A15" s="19" t="s">
        <v>51</v>
      </c>
      <c r="B15" s="20">
        <f>B13*B14</f>
        <v>-56025608.84836686</v>
      </c>
      <c r="C15" s="20">
        <f>C13*C14</f>
        <v>-54372898.85375287</v>
      </c>
      <c r="D15" s="20">
        <f>D13*D14</f>
        <v>-52768942.4627589</v>
      </c>
      <c r="E15" s="20">
        <f>E13*E14</f>
        <v>-51212301.48364191</v>
      </c>
      <c r="F15" s="20">
        <f>F13*F14</f>
        <v>-49701580.1501488</v>
      </c>
    </row>
    <row r="17" spans="1:2" x14ac:dyDescent="0.25">
      <c r="A17" s="22" t="s">
        <v>52</v>
      </c>
      <c r="B17" s="23">
        <f>SUM(B15:F15)</f>
        <v>-264081331.79866934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-65822206.30149841</v>
      </c>
    </row>
    <row r="5" spans="1:2" x14ac:dyDescent="0.25">
      <c r="A5" t="s">
        <v>56</v>
      </c>
      <c r="B5" s="18">
        <f>IF(Assumptions!$B$33=0,B4,B4-Forecast!F11-Forecast!F10-Forecast!F12)</f>
        <v>2877255941.603044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0.3880991667514614</v>
      </c>
    </row>
    <row r="7" spans="1:2" x14ac:dyDescent="0.25">
      <c r="A7" t="s">
        <v>58</v>
      </c>
      <c r="B7" s="18">
        <f>-MAX(Forecast!F9,0)*B6</f>
        <v>-1116660633.4668329</v>
      </c>
    </row>
    <row r="8" spans="1:2" x14ac:dyDescent="0.25">
      <c r="A8" t="s">
        <v>59</v>
      </c>
      <c r="B8" s="18">
        <f>IF(OR(Assumptions!$B$33=0,Assumptions!B12&lt;=0),B5,MAX(B5+B7,0))</f>
        <v>1760595308.1362112</v>
      </c>
    </row>
    <row r="9" spans="1:2" x14ac:dyDescent="0.25">
      <c r="A9" t="s">
        <v>60</v>
      </c>
      <c r="B9" s="18">
        <f>B8*(1+Assumptions!B12)/(Assumptions!B26-Assumptions!B12)</f>
        <v>45783085972.14014</v>
      </c>
    </row>
    <row r="10" spans="1:2" x14ac:dyDescent="0.25">
      <c r="A10" t="s">
        <v>61</v>
      </c>
      <c r="B10" s="18">
        <f>B9/(1+Assumptions!B26)^(5-0.5*Assumptions!B32)</f>
        <v>34570274149.46551</v>
      </c>
    </row>
    <row r="11" spans="1:2" x14ac:dyDescent="0.25">
      <c r="A11" t="s">
        <v>62</v>
      </c>
      <c r="B11" s="18">
        <f>Forecast!B17+B10</f>
        <v>34306192817.66684</v>
      </c>
    </row>
    <row r="12" spans="1:2" x14ac:dyDescent="0.25">
      <c r="A12" t="s">
        <v>63</v>
      </c>
      <c r="B12" s="18">
        <f>-Assumptions!B30</f>
        <v>-29979547000</v>
      </c>
    </row>
    <row r="13" spans="1:2" x14ac:dyDescent="0.25">
      <c r="A13" t="s">
        <v>64</v>
      </c>
      <c r="B13" s="18">
        <f>B11+B12</f>
        <v>4326645817.66684</v>
      </c>
    </row>
    <row r="14" spans="1:2" x14ac:dyDescent="0.25">
      <c r="A14" s="19" t="s">
        <v>65</v>
      </c>
      <c r="B14" s="24">
        <f>B13/Assumptions!B31</f>
        <v>11.653974020879488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5407257677.531062</v>
      </c>
    </row>
    <row r="18" spans="1:2" x14ac:dyDescent="0.25">
      <c r="A18" t="s">
        <v>60</v>
      </c>
      <c r="B18" s="18">
        <f>B17*Assumptions!B13</f>
        <v>55633874095.93219</v>
      </c>
    </row>
    <row r="19" spans="1:2" x14ac:dyDescent="0.25">
      <c r="A19" t="s">
        <v>61</v>
      </c>
      <c r="B19" s="18">
        <f>B18/(1+Assumptions!B26)^(5-0.5*Assumptions!B32)</f>
        <v>42008489350.490135</v>
      </c>
    </row>
    <row r="20" spans="1:2" x14ac:dyDescent="0.25">
      <c r="A20" t="s">
        <v>62</v>
      </c>
      <c r="B20" s="18">
        <f>Forecast!B17+B19</f>
        <v>41744408018.69147</v>
      </c>
    </row>
    <row r="21" spans="1:2" x14ac:dyDescent="0.25">
      <c r="A21" t="s">
        <v>63</v>
      </c>
      <c r="B21" s="18">
        <f>-Assumptions!B30</f>
        <v>-29979547000</v>
      </c>
    </row>
    <row r="22" spans="1:2" x14ac:dyDescent="0.25">
      <c r="A22" t="s">
        <v>64</v>
      </c>
      <c r="B22" s="18">
        <f>B20+B21</f>
        <v>11764861018.691467</v>
      </c>
    </row>
    <row r="23" spans="1:2" x14ac:dyDescent="0.25">
      <c r="A23" s="19" t="s">
        <v>65</v>
      </c>
      <c r="B23" s="25">
        <f>B22/Assumptions!B31</f>
        <v>31.689070575465742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67.72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11.653974020879488</v>
      </c>
    </row>
    <row r="29" spans="1:2" x14ac:dyDescent="0.25">
      <c r="A29" s="19" t="s">
        <v>73</v>
      </c>
      <c r="B29" s="12">
        <f>B28/B26-1</f>
        <v>-0.827909420837574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0.044417</v>
      </c>
      <c r="B5" s="31">
        <v>68.7617615107441</v>
      </c>
      <c r="C5" s="31">
        <v>72.31500316452863</v>
      </c>
      <c r="D5" s="31">
        <v>77.35168405278961</v>
      </c>
      <c r="E5" s="31">
        <v>85.41523127666778</v>
      </c>
      <c r="F5" s="31">
        <v>101.32703116240916</v>
      </c>
    </row>
    <row r="6" spans="1:6" x14ac:dyDescent="0.25">
      <c r="A6" s="30">
        <v>0.054417</v>
      </c>
      <c r="B6" s="31">
        <v>32.40878248017998</v>
      </c>
      <c r="C6" s="31">
        <v>32.96980566365314</v>
      </c>
      <c r="D6" s="31">
        <v>33.5308288471263</v>
      </c>
      <c r="E6" s="31">
        <v>34.09185203059942</v>
      </c>
      <c r="F6" s="31">
        <v>34.65287521407253</v>
      </c>
    </row>
    <row r="7" spans="1:6" x14ac:dyDescent="0.25">
      <c r="A7" s="30">
        <v>0.064417</v>
      </c>
      <c r="B7" s="31">
        <v>10.744659900900427</v>
      </c>
      <c r="C7" s="31">
        <v>11.198881305306926</v>
      </c>
      <c r="D7" s="32">
        <v>11.653102709713353</v>
      </c>
      <c r="E7" s="31">
        <v>12.10732411411984</v>
      </c>
      <c r="F7" s="31">
        <v>12.56154551852629</v>
      </c>
    </row>
    <row r="8" spans="1:6" x14ac:dyDescent="0.25">
      <c r="A8" s="30">
        <v>0.074417</v>
      </c>
      <c r="B8" s="31">
        <v>-4.9188638836392915</v>
      </c>
      <c r="C8" s="31">
        <v>-4.541881443456354</v>
      </c>
      <c r="D8" s="31">
        <v>-4.164899003273469</v>
      </c>
      <c r="E8" s="31">
        <v>-3.787916563090542</v>
      </c>
      <c r="F8" s="31">
        <v>-3.4109341229076353</v>
      </c>
    </row>
    <row r="9" spans="1:6" x14ac:dyDescent="0.25">
      <c r="A9" s="30">
        <v>0.084417</v>
      </c>
      <c r="B9" s="31">
        <v>-16.72354063842314</v>
      </c>
      <c r="C9" s="31">
        <v>-16.40478501240551</v>
      </c>
      <c r="D9" s="31">
        <v>-16.086029386387892</v>
      </c>
      <c r="E9" s="31">
        <v>-15.767273760370244</v>
      </c>
      <c r="F9" s="31">
        <v>-15.448518134352625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13547244000</v>
      </c>
      <c r="C5" s="18">
        <v>11900809000</v>
      </c>
      <c r="D5" s="18">
        <v>11910705000</v>
      </c>
      <c r="E5" s="18">
        <v>12289336000</v>
      </c>
      <c r="F5" s="8" t="s">
        <v>84</v>
      </c>
    </row>
    <row r="6" spans="1:6" x14ac:dyDescent="0.25">
      <c r="A6" t="s">
        <v>44</v>
      </c>
      <c r="B6" s="18">
        <v>2988589000</v>
      </c>
      <c r="C6" s="18">
        <v>2705709000</v>
      </c>
      <c r="D6" s="18">
        <v>2399335000</v>
      </c>
      <c r="E6" s="18">
        <v>2198154000</v>
      </c>
      <c r="F6" s="8" t="s">
        <v>85</v>
      </c>
    </row>
    <row r="7" spans="1:6" x14ac:dyDescent="0.25">
      <c r="A7" t="s">
        <v>86</v>
      </c>
      <c r="B7" s="18">
        <v>2404487000</v>
      </c>
      <c r="C7" s="18">
        <v>1776367000</v>
      </c>
      <c r="D7" s="18">
        <v>815723000</v>
      </c>
      <c r="E7" s="18">
        <v>1643138000</v>
      </c>
      <c r="F7" s="8" t="s">
        <v>87</v>
      </c>
    </row>
    <row r="8" spans="1:6" x14ac:dyDescent="0.25">
      <c r="A8" t="s">
        <v>88</v>
      </c>
      <c r="B8" s="18">
        <v>4158669000</v>
      </c>
      <c r="C8" s="18">
        <v>4480529000</v>
      </c>
      <c r="D8" s="18">
        <v>4336849000</v>
      </c>
      <c r="E8" s="18">
        <v>3441852000</v>
      </c>
      <c r="F8" s="8" t="s">
        <v>89</v>
      </c>
    </row>
    <row r="9" spans="1:6" x14ac:dyDescent="0.25">
      <c r="A9" t="s">
        <v>90</v>
      </c>
      <c r="B9" s="18">
        <v>54962000</v>
      </c>
      <c r="C9" s="18">
        <v>310507000</v>
      </c>
      <c r="D9" s="18">
        <v>441875000</v>
      </c>
      <c r="E9" s="18">
        <v>120161000</v>
      </c>
      <c r="F9" s="8" t="s">
        <v>91</v>
      </c>
    </row>
    <row r="10" spans="1:6" x14ac:dyDescent="0.25">
      <c r="A10" t="s">
        <v>92</v>
      </c>
      <c r="B10" s="18">
        <v>30114898000</v>
      </c>
      <c r="C10" s="18">
        <v>29114852000</v>
      </c>
      <c r="D10" s="18">
        <v>26754377000</v>
      </c>
      <c r="E10" s="18">
        <v>22940025000</v>
      </c>
      <c r="F10" s="8" t="s">
        <v>93</v>
      </c>
    </row>
    <row r="11" spans="1:6" x14ac:dyDescent="0.25">
      <c r="A11" t="s">
        <v>94</v>
      </c>
      <c r="B11" s="18">
        <v>135351000</v>
      </c>
      <c r="C11" s="18">
        <v>26656000</v>
      </c>
      <c r="D11" s="18">
        <v>53873000</v>
      </c>
      <c r="E11" s="18">
        <v>374603000</v>
      </c>
      <c r="F11" s="8" t="s">
        <v>95</v>
      </c>
    </row>
    <row r="12" spans="1:6" x14ac:dyDescent="0.25">
      <c r="A12" t="s">
        <v>32</v>
      </c>
      <c r="B12" s="34">
        <v>371259264</v>
      </c>
      <c r="C12" s="34">
        <v>357779408</v>
      </c>
      <c r="D12" s="34">
        <v>349840481</v>
      </c>
      <c r="E12" s="34">
        <v>347246768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2026-09-19T01:03:25Z</dcterms:modified>
</cp:coreProperties>
</file>