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<sst xmlns="http://schemas.openxmlformats.org/spreadsheetml/2006/main" count="121" uniqueCount="108">
  <si>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Essex Property Trust, Inc. (ESS)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</si>
  <si>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</si>
  <si>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</si>
  <si>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</si>
  <si>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</si>
  <si>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</si>
  <si>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</si>
  <si>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</si>
  <si>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</si>
  <si>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</si>
  <si>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</si>
  <si>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</si>
  <si>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</si>
  <si>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</si>
  <si>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</si>
  <si>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</si>
  <si>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</si>
  <si>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</si>
  <si>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</si>
  <si>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</si>
  <si>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</si>
  <si>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</si>
  <si>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</si>
  <si>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</si>
  <si>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2.3x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</si>
  <si>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</si>
  <si>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</si>
  <si>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</si>
  <si>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</si>
  <si>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</si>
  <si>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</si>
  <si>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</si>
  <si>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</si>
  <si>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</si>
  <si>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</si>
  <si>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</si>
  <si>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</si>
  <si>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</si>
  <si>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</si>
  <si>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</si>
  <si>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</si>
  <si>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</si>
  <si>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</si>
  <si>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</si>
  <si>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</si>
  <si>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</si>
  <si>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</si>
  <si>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</si>
  <si>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</si>
  <si>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</si>
  <si>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</si>
  <si>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</si>
  <si>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</si>
  <si>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</si>
  <si>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</si>
  <si>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</si>
  <si>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</si>
  <si>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</si>
  <si>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</si>
  <si>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</si>
  <si>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</si>
  <si>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</si>
  <si>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</si>
  <si>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</si>
  <si>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</si>
  <si>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</si>
  <si>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</si>
  <si>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</si>
  <si>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</si>
  <si>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</si>
  <si>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</si>
  <si>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</si>
  <si>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</si>
  <si>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</si>
  <si>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</si>
  <si>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</si>
  <si>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</si>
  <si>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</si>
  <si>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</si>
  <si>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</si>
  <si>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</si>
  <si>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</si>
  <si>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</si>
  <si>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</si>
  <si>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</si>
  <si>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</si>
  <si>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</si>
  <si>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</si>
  <si>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</si>
  <si>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</si>
  <si>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</si>
  <si>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</si>
  <si>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</si>
  <si>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</si>
  <si>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</si>
  <si>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</si>
  <si>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</si>
  <si>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</si>
  <si>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</si>
  <si>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</si>
  <si>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</si>
  <si>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</si>
  <si>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</si>
  <si>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</si>
  <si>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</si>
  <si>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8.42% of revenue against depreciation and amortisation of 32.83%. A business cannot depreciate more than it invests indefinitely. Capex has been set to 32.83%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</si>
  <si>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20.6x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</si>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</sst>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0.035301351899096334</v>
      </c>
    </row>
    <row r="7" spans="1:2" x14ac:dyDescent="0.25">
      <c r="A7" t="s">
        <v>4</v>
      </c>
      <c r="B7" s="5">
        <v>0.3127225806327136</v>
      </c>
    </row>
    <row r="8" spans="1:2" x14ac:dyDescent="0.25">
      <c r="A8" t="s">
        <v>5</v>
      </c>
      <c r="B8" s="5">
        <v>0</v>
      </c>
    </row>
    <row r="9" spans="1:2" x14ac:dyDescent="0.25">
      <c r="A9" t="s">
        <v>6</v>
      </c>
      <c r="B9" s="5">
        <v>0.3282646922381165</v>
      </c>
    </row>
    <row r="10" spans="1:3" x14ac:dyDescent="0.25">
      <c r="A10" t="s">
        <v>7</v>
      </c>
      <c r="B10" s="5">
        <v>0.3282646922381165</v>
      </c>
      <c r="C10" s="6" t="s">
        <v>8</v>
      </c>
    </row>
    <row r="11" spans="1:2" x14ac:dyDescent="0.25">
      <c r="A11" t="s">
        <v>9</v>
      </c>
      <c r="B11" s="5">
        <v>-0.10595549975132043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0.0775794752628299</v>
      </c>
      <c r="C14" s="6" t="s">
        <v>13</v>
      </c>
    </row>
    <row r="15" spans="1:3" x14ac:dyDescent="0.25">
      <c r="A15" t="s">
        <v>14</v>
      </c>
      <c r="B15" s="5">
        <v>0.3282646922381165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0.80905</v>
      </c>
      <c r="C19" s="6" t="s">
        <v>21</v>
      </c>
    </row>
    <row r="20" spans="1:2" x14ac:dyDescent="0.25">
      <c r="A20" t="s">
        <v>22</v>
      </c>
      <c r="B20" s="9">
        <f>B17+B19*B18</f>
        <v>0.083162815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18210689024</v>
      </c>
    </row>
    <row r="23" spans="1:2" x14ac:dyDescent="0.25">
      <c r="A23" t="s">
        <v>26</v>
      </c>
      <c r="B23" s="10">
        <v>6851756000</v>
      </c>
    </row>
    <row r="24" spans="1:2" x14ac:dyDescent="0.25">
      <c r="A24" t="s">
        <v>27</v>
      </c>
      <c r="B24" s="9">
        <f>B22/(B22+B23)</f>
        <v>0.7266126272421265</v>
      </c>
    </row>
    <row r="25" spans="1:2" x14ac:dyDescent="0.25">
      <c r="A25" t="s">
        <v>28</v>
      </c>
      <c r="B25" s="9">
        <f>1-B24</f>
        <v>0.2733873727578735</v>
      </c>
    </row>
    <row r="26" spans="1:2" x14ac:dyDescent="0.25">
      <c r="A26" t="s">
        <v>29</v>
      </c>
      <c r="B26" s="11">
        <f>B24*B20+B25*B21*(1-B8)</f>
        <v>0.0775794752628299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1887345000</v>
      </c>
      <c r="C29" s="6" t="s">
        <v>32</v>
      </c>
    </row>
    <row r="30" spans="1:2" x14ac:dyDescent="0.25">
      <c r="A30" t="s">
        <v>33</v>
      </c>
      <c r="B30" s="10">
        <v>6677445000</v>
      </c>
    </row>
    <row r="31" spans="1:2" x14ac:dyDescent="0.25">
      <c r="A31" t="s">
        <v>34</v>
      </c>
      <c r="B31" s="12">
        <v>64399459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0.035301351899096334</v>
      </c>
      <c r="C5" s="5">
        <v>0.034822034676945446</v>
      </c>
      <c r="D5" s="5">
        <v>0.03359428034232727</v>
      </c>
      <c r="E5" s="5">
        <v>0.03236652600770908</v>
      </c>
      <c r="F5" s="5">
        <v>0.031138771673090905</v>
      </c>
      <c r="G5" s="5">
        <v>0.029911017338472724</v>
      </c>
      <c r="H5" s="5">
        <v>0.028683263003854542</v>
      </c>
      <c r="I5" s="5">
        <v>0.027455508669236364</v>
      </c>
      <c r="J5" s="5">
        <v>0.026227754334618183</v>
      </c>
      <c r="K5" s="5">
        <v>0.025</v>
      </c>
    </row>
    <row r="6" spans="1:11" x14ac:dyDescent="0.25">
      <c r="A6" t="s">
        <v>50</v>
      </c>
      <c r="B6" s="18">
        <f>Assumptions!B29*(1+B5)</f>
        <v>1953970830</v>
      </c>
      <c r="C6" s="18">
        <f>B6*(1+C5)</f>
        <v>2022012069.9999998</v>
      </c>
      <c r="D6" s="18">
        <f>C6*(1+D5)</f>
        <v>2089940110.3351493</v>
      </c>
      <c r="E6" s="18">
        <f>D6*(1+E5)</f>
        <v>2157584211.2708664</v>
      </c>
      <c r="F6" s="18">
        <f>E6*(1+F5)</f>
        <v>2224768733.3910956</v>
      </c>
      <c r="G6" s="18">
        <f>F6*(1+G5)</f>
        <v>2291313829.549649</v>
      </c>
      <c r="H6" s="18">
        <f>G6*(1+H5)</f>
        <v>2357036186.74699</v>
      </c>
      <c r="I6" s="18">
        <f>H6*(1+I5)</f>
        <v>2421749814.205926</v>
      </c>
      <c r="J6" s="18">
        <f>I6*(1+J5)</f>
        <v>2485266873.392826</v>
      </c>
      <c r="K6" s="18">
        <f>J6*(1+K5)</f>
        <v>2547398545.2276464</v>
      </c>
    </row>
    <row r="7" spans="1:11" x14ac:dyDescent="0.25">
      <c r="A7" t="s">
        <v>4</v>
      </c>
      <c r="B7" s="9">
        <f>Assumptions!B7</f>
        <v>0.3127225806327136</v>
      </c>
      <c r="C7" s="9">
        <f>Assumptions!B7</f>
        <v>0.3127225806327136</v>
      </c>
      <c r="D7" s="9">
        <f>Assumptions!B7</f>
        <v>0.3127225806327136</v>
      </c>
      <c r="E7" s="9">
        <f>Assumptions!B7</f>
        <v>0.3127225806327136</v>
      </c>
      <c r="F7" s="9">
        <f>Assumptions!B7</f>
        <v>0.3127225806327136</v>
      </c>
      <c r="G7" s="9">
        <f>Assumptions!B7</f>
        <v>0.3127225806327136</v>
      </c>
      <c r="H7" s="9">
        <f>Assumptions!B7</f>
        <v>0.3127225806327136</v>
      </c>
      <c r="I7" s="9">
        <f>Assumptions!B7</f>
        <v>0.3127225806327136</v>
      </c>
      <c r="J7" s="9">
        <f>Assumptions!B7</f>
        <v>0.3127225806327136</v>
      </c>
      <c r="K7" s="9">
        <f>Assumptions!B7</f>
        <v>0.3127225806327136</v>
      </c>
    </row>
    <row r="8" spans="1:11" x14ac:dyDescent="0.25">
      <c r="A8" t="s">
        <v>51</v>
      </c>
      <c r="B8" s="18">
        <f>B6*B7</f>
        <v>611050800.4386452</v>
      </c>
      <c r="C8" s="18">
        <f>C6*C7</f>
        <v>632328832.600895</v>
      </c>
      <c r="D8" s="18">
        <f>D6*D7</f>
        <v>653571464.671826</v>
      </c>
      <c r="E8" s="18">
        <f>E6*E7</f>
        <v>674725302.4810232</v>
      </c>
      <c r="F8" s="18">
        <f>F6*F7</f>
        <v>695735419.6170369</v>
      </c>
      <c r="G8" s="18">
        <f>G6*G7</f>
        <v>716545573.8161918</v>
      </c>
      <c r="H8" s="18">
        <f>H6*H7</f>
        <v>737098438.9642094</v>
      </c>
      <c r="I8" s="18">
        <f>I6*I7</f>
        <v>757335851.5452718</v>
      </c>
      <c r="J8" s="18">
        <f>J6*J7</f>
        <v>777199070.2084</v>
      </c>
      <c r="K8" s="18">
        <f>K6*K7</f>
        <v>796629046.9636099</v>
      </c>
    </row>
    <row r="9" spans="1:11" x14ac:dyDescent="0.25">
      <c r="A9" t="s">
        <v>52</v>
      </c>
      <c r="B9" s="18">
        <f>B8*(1-Assumptions!B8)</f>
        <v>611050800.4386452</v>
      </c>
      <c r="C9" s="18">
        <f>C8*(1-Assumptions!B8)</f>
        <v>632328832.600895</v>
      </c>
      <c r="D9" s="18">
        <f>D8*(1-Assumptions!B8)</f>
        <v>653571464.671826</v>
      </c>
      <c r="E9" s="18">
        <f>E8*(1-Assumptions!B8)</f>
        <v>674725302.4810232</v>
      </c>
      <c r="F9" s="18">
        <f>F8*(1-Assumptions!B8)</f>
        <v>695735419.6170369</v>
      </c>
      <c r="G9" s="18">
        <f>G8*(1-Assumptions!B8)</f>
        <v>716545573.8161918</v>
      </c>
      <c r="H9" s="18">
        <f>H8*(1-Assumptions!B8)</f>
        <v>737098438.9642094</v>
      </c>
      <c r="I9" s="18">
        <f>I8*(1-Assumptions!B8)</f>
        <v>757335851.5452718</v>
      </c>
      <c r="J9" s="18">
        <f>J8*(1-Assumptions!B8)</f>
        <v>777199070.2084</v>
      </c>
      <c r="K9" s="18">
        <f>K8*(1-Assumptions!B8)</f>
        <v>796629046.9636099</v>
      </c>
    </row>
    <row r="10" spans="1:11" x14ac:dyDescent="0.25">
      <c r="A10" t="s">
        <v>53</v>
      </c>
      <c r="B10" s="18">
        <f>B6*Assumptions!B9</f>
        <v>641419633.152207</v>
      </c>
      <c r="C10" s="18">
        <f>C6*Assumptions!B9</f>
        <v>663755169.8603067</v>
      </c>
      <c r="D10" s="18">
        <f>D6*Assumptions!B9</f>
        <v>686053547.115263</v>
      </c>
      <c r="E10" s="18">
        <f>E6*Assumptions!B9</f>
        <v>708258717.0906503</v>
      </c>
      <c r="F10" s="18">
        <f>F6*Assumptions!B9</f>
        <v>730313023.5676123</v>
      </c>
      <c r="G10" s="18">
        <f>G6*Assumptions!B9</f>
        <v>752157429.0780556</v>
      </c>
      <c r="H10" s="18">
        <f>H6*Assumptions!B9</f>
        <v>773731758.4366044</v>
      </c>
      <c r="I10" s="18">
        <f>I6*Assumptions!B9</f>
        <v>794974957.438024</v>
      </c>
      <c r="J10" s="18">
        <f>J6*Assumptions!B9</f>
        <v>815825365.3238821</v>
      </c>
      <c r="K10" s="18">
        <f>K6*Assumptions!B9</f>
        <v>836220999.456979</v>
      </c>
    </row>
    <row r="11" spans="1:11" x14ac:dyDescent="0.25">
      <c r="A11" t="s">
        <v>54</v>
      </c>
      <c r="B11" s="18">
        <f>-B6*B19</f>
        <v>-641419633.152207</v>
      </c>
      <c r="C11" s="18">
        <f>-C6*C19</f>
        <v>-686396067.7717224</v>
      </c>
      <c r="D11" s="18">
        <f>-D6*D19</f>
        <v>-732856552.2813706</v>
      </c>
      <c r="E11" s="18">
        <f>-E6*E19</f>
        <v>-780735500.8657333</v>
      </c>
      <c r="F11" s="18">
        <f>-F6*F19</f>
        <v>-829957852.6298194</v>
      </c>
      <c r="G11" s="18">
        <f>-G6*G19</f>
        <v>-880439063.1680255</v>
      </c>
      <c r="H11" s="18">
        <f>-H6*H19</f>
        <v>-932085162.3635684</v>
      </c>
      <c r="I11" s="18">
        <f>-I6*I19</f>
        <v>-984792880.8161887</v>
      </c>
      <c r="J11" s="18">
        <f>-J6*J19</f>
        <v>-1038449846.7419788</v>
      </c>
      <c r="K11" s="18">
        <f>-K6*K19</f>
        <v>-1092934854.5922215</v>
      </c>
    </row>
    <row r="12" spans="1:11" x14ac:dyDescent="0.25">
      <c r="A12" t="s">
        <v>55</v>
      </c>
      <c r="B12" s="18">
        <f>-(B6-Assumptions!B29)*Assumptions!B11</f>
        <v>7059373.113996517</v>
      </c>
      <c r="C12" s="18">
        <f>-(C6-B6)*Assumptions!B11</f>
        <v>7209343.587899509</v>
      </c>
      <c r="D12" s="18">
        <f>-(D6-C6)*Assumptions!B11</f>
        <v>7197349.46083862</v>
      </c>
      <c r="E12" s="18">
        <f>-(E6-D6)*Assumptions!B11</f>
        <v>7167264.519872668</v>
      </c>
      <c r="F12" s="18">
        <f>-(F6-E6)*Assumptions!B11</f>
        <v>7118569.616802531</v>
      </c>
      <c r="G12" s="18">
        <f>-(G6-F6)*Assumptions!B11</f>
        <v>7050818.91947917</v>
      </c>
      <c r="H12" s="18">
        <f>-(H6-G6)*Assumptions!B11</f>
        <v>6963645.201679104</v>
      </c>
      <c r="I12" s="18">
        <f>-(I6-H6)*Assumptions!B11</f>
        <v>6856764.738132308</v>
      </c>
      <c r="J12" s="18">
        <f>-(J6-I6)*Assumptions!B11</f>
        <v>6729981.748882202</v>
      </c>
      <c r="K12" s="18">
        <f>-(K6-J6)*Assumptions!B11</f>
        <v>6583192.339643422</v>
      </c>
    </row>
    <row r="13" spans="1:11" x14ac:dyDescent="0.25">
      <c r="A13" s="19" t="s">
        <v>56</v>
      </c>
      <c r="B13" s="20">
        <f>B9+B10+B11+B12</f>
        <v>618110173.5526417</v>
      </c>
      <c r="C13" s="20">
        <f>C9+C10+C11+C12</f>
        <v>616897278.2773788</v>
      </c>
      <c r="D13" s="20">
        <f>D9+D10+D11+D12</f>
        <v>613965808.9665569</v>
      </c>
      <c r="E13" s="20">
        <f>E9+E10+E11+E12</f>
        <v>609415783.2258128</v>
      </c>
      <c r="F13" s="20">
        <f>F9+F10+F11+F12</f>
        <v>603209160.1716324</v>
      </c>
      <c r="G13" s="20">
        <f>G9+G10+G11+G12</f>
        <v>595314758.6457012</v>
      </c>
      <c r="H13" s="20">
        <f>H9+H10+H11+H12</f>
        <v>585708680.2389245</v>
      </c>
      <c r="I13" s="20">
        <f>I9+I10+I11+I12</f>
        <v>574374692.9052396</v>
      </c>
      <c r="J13" s="20">
        <f>J9+J10+J11+J12</f>
        <v>561304570.5391855</v>
      </c>
      <c r="K13" s="20">
        <f>K9+K10+K11+K12</f>
        <v>546498384.168011</v>
      </c>
    </row>
    <row r="14" spans="1:11" x14ac:dyDescent="0.25">
      <c r="A14" t="s">
        <v>57</v>
      </c>
      <c r="B14" s="21">
        <f>1/(1+Assumptions!$B$26)^(1-0.5*Assumptions!$B$32)</f>
        <v>0.9633305752499867</v>
      </c>
      <c r="C14" s="21">
        <f>1/(1+Assumptions!$B$26)^(2-0.5*Assumptions!$B$32)</f>
        <v>0.8939763584630479</v>
      </c>
      <c r="D14" s="21">
        <f>1/(1+Assumptions!$B$26)^(3-0.5*Assumptions!$B$32)</f>
        <v>0.8296152432237077</v>
      </c>
      <c r="E14" s="21">
        <f>1/(1+Assumptions!$B$26)^(4-0.5*Assumptions!$B$32)</f>
        <v>0.7698877551666045</v>
      </c>
      <c r="F14" s="21">
        <f>1/(1+Assumptions!$B$26)^(5-0.5*Assumptions!$B$32)</f>
        <v>0.7144602999967339</v>
      </c>
      <c r="G14" s="21">
        <f>1/(1+Assumptions!$B$26)^(6-0.5*Assumptions!$B$32)</f>
        <v>0.6630233002744151</v>
      </c>
      <c r="H14" s="21">
        <f>1/(1+Assumptions!$B$26)^(7-0.5*Assumptions!$B$32)</f>
        <v>0.6152894663409386</v>
      </c>
      <c r="I14" s="21">
        <f>1/(1+Assumptions!$B$26)^(8-0.5*Assumptions!$B$32)</f>
        <v>0.5709921917275427</v>
      </c>
      <c r="J14" s="21">
        <f>1/(1+Assumptions!$B$26)^(9-0.5*Assumptions!$B$32)</f>
        <v>0.5298840640856428</v>
      </c>
      <c r="K14" s="21">
        <f>1/(1+Assumptions!$B$26)^(10-0.5*Assumptions!$B$32)</f>
        <v>0.4917354833214506</v>
      </c>
    </row>
    <row r="15" spans="1:11" x14ac:dyDescent="0.25">
      <c r="A15" s="19" t="s">
        <v>58</v>
      </c>
      <c r="B15" s="20">
        <f>B13*B14</f>
        <v>595444429.0563354</v>
      </c>
      <c r="C15" s="20">
        <f>C13*C14</f>
        <v>551491582.3801765</v>
      </c>
      <c r="D15" s="20">
        <f>D13*D14</f>
        <v>509355393.9368306</v>
      </c>
      <c r="E15" s="20">
        <f>E13*E14</f>
        <v>469181749.31081903</v>
      </c>
      <c r="F15" s="20">
        <f>F13*F14</f>
        <v>430968997.5370024</v>
      </c>
      <c r="G15" s="20">
        <f>G13*G14</f>
        <v>394707555.9793397</v>
      </c>
      <c r="H15" s="20">
        <f>H13*H14</f>
        <v>360380381.2954633</v>
      </c>
      <c r="I15" s="20">
        <f>I13*I14</f>
        <v>327963464.774797</v>
      </c>
      <c r="J15" s="20">
        <f>J13*J14</f>
        <v>297426347.02715</v>
      </c>
      <c r="K15" s="20">
        <f>K13*K14</f>
        <v>268732647.0732487</v>
      </c>
    </row>
    <row r="17" spans="1:2" x14ac:dyDescent="0.25">
      <c r="A17" s="22" t="s">
        <v>59</v>
      </c>
      <c r="B17" s="23">
        <f>SUM(B15:K15)</f>
        <v>4205652548.371163</v>
      </c>
    </row>
    <row r="19" spans="1:11" x14ac:dyDescent="0.25">
      <c r="A19" t="s">
        <v>7</v>
      </c>
      <c r="B19" s="9">
        <f>Assumptions!$B$10+($B$20-Assumptions!$B$10)*0/9</f>
        <v>0.3282646922381165</v>
      </c>
      <c r="C19" s="9">
        <f>Assumptions!$B$10+($B$20-Assumptions!$B$10)*1/9</f>
        <v>0.33946190428612155</v>
      </c>
      <c r="D19" s="9">
        <f>Assumptions!$B$10+($B$20-Assumptions!$B$10)*2/9</f>
        <v>0.35065911633412666</v>
      </c>
      <c r="E19" s="9">
        <f>Assumptions!$B$10+($B$20-Assumptions!$B$10)*3/9</f>
        <v>0.3618563283821317</v>
      </c>
      <c r="F19" s="9">
        <f>Assumptions!$B$10+($B$20-Assumptions!$B$10)*4/9</f>
        <v>0.37305354043013683</v>
      </c>
      <c r="G19" s="9">
        <f>Assumptions!$B$10+($B$20-Assumptions!$B$10)*5/9</f>
        <v>0.3842507524781419</v>
      </c>
      <c r="H19" s="9">
        <f>Assumptions!$B$10+($B$20-Assumptions!$B$10)*6/9</f>
        <v>0.39544796452614694</v>
      </c>
      <c r="I19" s="9">
        <f>Assumptions!$B$10+($B$20-Assumptions!$B$10)*7/9</f>
        <v>0.40664517657415206</v>
      </c>
      <c r="J19" s="9">
        <f>Assumptions!$B$10+($B$20-Assumptions!$B$10)*8/9</f>
        <v>0.41784238862215717</v>
      </c>
      <c r="K19" s="9">
        <f>Assumptions!$B$10+($B$20-Assumptions!$B$10)*9/9</f>
        <v>0.4290396006701622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0.4290396006701622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546498384.168011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796629046.9636099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0.32225018170467146</v>
      </c>
    </row>
    <row r="7" spans="1:2" x14ac:dyDescent="0.25">
      <c r="A7" t="s">
        <v>66</v>
      </c>
      <c r="B7" s="18">
        <f>-MAX(B5,0)*B6</f>
        <v>-256713855.13524255</v>
      </c>
    </row>
    <row r="8" spans="1:2" x14ac:dyDescent="0.25">
      <c r="A8" t="s">
        <v>67</v>
      </c>
      <c r="B8" s="18">
        <f>IF(OR(Assumptions!$B$33=0,Assumptions!B12&lt;=0),B5,MAX(B5+B7,0))</f>
        <v>539915191.8283674</v>
      </c>
    </row>
    <row r="9" spans="1:2" x14ac:dyDescent="0.25">
      <c r="A9" t="s">
        <v>68</v>
      </c>
      <c r="B9" s="18">
        <f>B8*(1+Assumptions!B12)/(Assumptions!B26-Assumptions!B12)</f>
        <v>10525268060.544943</v>
      </c>
    </row>
    <row r="10" spans="1:2" x14ac:dyDescent="0.25">
      <c r="A10" t="s">
        <v>69</v>
      </c>
      <c r="B10" s="18">
        <f>B9/(1+Assumptions!B26)^(10-0.5*Assumptions!B32)</f>
        <v>5175647776.839894</v>
      </c>
    </row>
    <row r="11" spans="1:2" x14ac:dyDescent="0.25">
      <c r="A11" t="s">
        <v>70</v>
      </c>
      <c r="B11" s="18">
        <f>Forecast!B17+B10</f>
        <v>9381300325.211058</v>
      </c>
    </row>
    <row r="12" spans="1:2" x14ac:dyDescent="0.25">
      <c r="A12" t="s">
        <v>71</v>
      </c>
      <c r="B12" s="18">
        <f>-Assumptions!B30</f>
        <v>-6677445000</v>
      </c>
    </row>
    <row r="13" spans="1:2" x14ac:dyDescent="0.25">
      <c r="A13" t="s">
        <v>72</v>
      </c>
      <c r="B13" s="18">
        <f>B11+B12</f>
        <v>2703855325.2110577</v>
      </c>
    </row>
    <row r="14" spans="1:2" x14ac:dyDescent="0.25">
      <c r="A14" s="19" t="s">
        <v>73</v>
      </c>
      <c r="B14" s="24">
        <f>B13/Assumptions!B31</f>
        <v>41.98568384264001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1632850046.420589</v>
      </c>
    </row>
    <row r="18" spans="1:2" x14ac:dyDescent="0.25">
      <c r="A18" t="s">
        <v>68</v>
      </c>
      <c r="B18" s="18">
        <f>B17*Assumptions!B13</f>
        <v>32657000928.41178</v>
      </c>
    </row>
    <row r="19" spans="1:2" x14ac:dyDescent="0.25">
      <c r="A19" t="s">
        <v>69</v>
      </c>
      <c r="B19" s="18">
        <f>B18/(1+Assumptions!B26)^(10-0.5*Assumptions!B32)</f>
        <v>16058606135.36163</v>
      </c>
    </row>
    <row r="20" spans="1:2" x14ac:dyDescent="0.25">
      <c r="A20" t="s">
        <v>70</v>
      </c>
      <c r="B20" s="18">
        <f>Forecast!B17+B19</f>
        <v>20264258683.73279</v>
      </c>
    </row>
    <row r="21" spans="1:2" x14ac:dyDescent="0.25">
      <c r="A21" t="s">
        <v>71</v>
      </c>
      <c r="B21" s="18">
        <f>-Assumptions!B30</f>
        <v>-6677445000</v>
      </c>
    </row>
    <row r="22" spans="1:2" x14ac:dyDescent="0.25">
      <c r="A22" t="s">
        <v>72</v>
      </c>
      <c r="B22" s="18">
        <f>B20+B21</f>
        <v>13586813683.732792</v>
      </c>
    </row>
    <row r="23" spans="1:2" x14ac:dyDescent="0.25">
      <c r="A23" s="19" t="s">
        <v>73</v>
      </c>
      <c r="B23" s="25">
        <f>B22/Assumptions!B31</f>
        <v>210.9771400988445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264.18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41.98568384264001</v>
      </c>
    </row>
    <row r="29" spans="1:2" x14ac:dyDescent="0.25">
      <c r="A29" s="19" t="s">
        <v>81</v>
      </c>
      <c r="B29" s="11">
        <f>B28/B26-1</f>
        <v>-0.8410716789967446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0.057579</v>
      </c>
      <c r="B5" s="31">
        <v>97.72502515909814</v>
      </c>
      <c r="C5" s="31">
        <v>94.9384660533249</v>
      </c>
      <c r="D5" s="31">
        <v>92.15190694755171</v>
      </c>
      <c r="E5" s="31">
        <v>89.36534784177853</v>
      </c>
      <c r="F5" s="31">
        <v>86.57878873600528</v>
      </c>
    </row>
    <row r="6" spans="1:6" x14ac:dyDescent="0.25">
      <c r="A6" s="30">
        <v>0.067579</v>
      </c>
      <c r="B6" s="31">
        <v>67.8342508019241</v>
      </c>
      <c r="C6" s="31">
        <v>65.5912390832594</v>
      </c>
      <c r="D6" s="31">
        <v>63.34822736459465</v>
      </c>
      <c r="E6" s="31">
        <v>61.10521564592994</v>
      </c>
      <c r="F6" s="31">
        <v>58.8622039272652</v>
      </c>
    </row>
    <row r="7" spans="1:6" x14ac:dyDescent="0.25">
      <c r="A7" s="30">
        <v>0.077579</v>
      </c>
      <c r="B7" s="31">
        <v>45.68164237119993</v>
      </c>
      <c r="C7" s="31">
        <v>43.834105104863596</v>
      </c>
      <c r="D7" s="32">
        <v>41.98656783852717</v>
      </c>
      <c r="E7" s="31">
        <v>40.13903057219081</v>
      </c>
      <c r="F7" s="31">
        <v>38.291493305854395</v>
      </c>
    </row>
    <row r="8" spans="1:6" x14ac:dyDescent="0.25">
      <c r="A8" s="30">
        <v>0.087579</v>
      </c>
      <c r="B8" s="31">
        <v>28.614503625132883</v>
      </c>
      <c r="C8" s="31">
        <v>27.065660215491892</v>
      </c>
      <c r="D8" s="31">
        <v>25.51681680585087</v>
      </c>
      <c r="E8" s="31">
        <v>23.96797339620985</v>
      </c>
      <c r="F8" s="31">
        <v>22.419129986568798</v>
      </c>
    </row>
    <row r="9" spans="1:6" x14ac:dyDescent="0.25">
      <c r="A9" s="30">
        <v>0.097579</v>
      </c>
      <c r="B9" s="31">
        <v>15.0676818465468</v>
      </c>
      <c r="C9" s="31">
        <v>13.750971383466396</v>
      </c>
      <c r="D9" s="31">
        <v>12.434260920385961</v>
      </c>
      <c r="E9" s="31">
        <v>11.117550457305528</v>
      </c>
      <c r="F9" s="31">
        <v>9.800839994225093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1887345000</v>
      </c>
      <c r="C5" s="18">
        <v>1774450000</v>
      </c>
      <c r="D5" s="18">
        <v>1669395000</v>
      </c>
      <c r="E5" s="18">
        <v>1606814000</v>
      </c>
      <c r="F5" s="6" t="s">
        <v>91</v>
      </c>
    </row>
    <row r="6" spans="1:6" x14ac:dyDescent="0.25">
      <c r="A6" t="s">
        <v>51</v>
      </c>
      <c r="B6" s="18">
        <v>601913000</v>
      </c>
      <c r="C6" s="18">
        <v>528513000</v>
      </c>
      <c r="D6" s="18">
        <v>525435000</v>
      </c>
      <c r="E6" s="18">
        <v>513181000</v>
      </c>
      <c r="F6" s="6" t="s">
        <v>92</v>
      </c>
    </row>
    <row r="7" spans="1:6" x14ac:dyDescent="0.25">
      <c r="A7" t="s">
        <v>93</v>
      </c>
      <c r="B7" s="18">
        <v>607542000</v>
      </c>
      <c r="C7" s="18">
        <v>580220000</v>
      </c>
      <c r="D7" s="18">
        <v>548438000</v>
      </c>
      <c r="E7" s="18">
        <v>539319000</v>
      </c>
      <c r="F7" s="6" t="s">
        <v>94</v>
      </c>
    </row>
    <row r="8" spans="1:6" x14ac:dyDescent="0.25">
      <c r="A8" t="s">
        <v>95</v>
      </c>
      <c r="B8" s="18">
        <v>140348000</v>
      </c>
      <c r="C8" s="18">
        <v>136395000</v>
      </c>
      <c r="D8" s="18">
        <v>140371000</v>
      </c>
      <c r="E8" s="18">
        <v>163193000</v>
      </c>
      <c r="F8" s="6" t="s">
        <v>96</v>
      </c>
    </row>
    <row r="9" spans="1:6" x14ac:dyDescent="0.25">
      <c r="A9" t="s">
        <v>97</v>
      </c>
      <c r="B9" s="18">
        <v>-2951000</v>
      </c>
      <c r="C9" s="18">
        <v>-55291000</v>
      </c>
      <c r="D9" s="18">
        <v>1651000</v>
      </c>
      <c r="E9" s="18">
        <v>2456000</v>
      </c>
      <c r="F9" s="6" t="s">
        <v>98</v>
      </c>
    </row>
    <row r="10" spans="1:6" x14ac:dyDescent="0.25">
      <c r="A10" t="s">
        <v>99</v>
      </c>
      <c r="B10" s="18">
        <v>6851756000</v>
      </c>
      <c r="C10" s="18">
        <v>6654090000</v>
      </c>
      <c r="D10" s="18">
        <v>6270826000</v>
      </c>
      <c r="E10" s="18">
        <v>6026880000</v>
      </c>
      <c r="F10" s="6" t="s">
        <v>100</v>
      </c>
    </row>
    <row r="11" spans="1:6" x14ac:dyDescent="0.25">
      <c r="A11" t="s">
        <v>101</v>
      </c>
      <c r="B11" s="18">
        <v>174311000</v>
      </c>
      <c r="C11" s="18">
        <v>136589000</v>
      </c>
      <c r="D11" s="18">
        <v>479544000</v>
      </c>
      <c r="E11" s="18">
        <v>146038000</v>
      </c>
      <c r="F11" s="6" t="s">
        <v>102</v>
      </c>
    </row>
    <row r="12" spans="1:6" x14ac:dyDescent="0.25">
      <c r="A12" t="s">
        <v>34</v>
      </c>
      <c r="B12" s="34">
        <v>64399459</v>
      </c>
      <c r="C12" s="34">
        <v>64251234</v>
      </c>
      <c r="D12" s="34">
        <v>64253385</v>
      </c>
      <c r="E12" s="34">
        <v>65098186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