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<sst xmlns="http://schemas.openxmlformats.org/spreadsheetml/2006/main" count="114" uniqueCount="102">
  <si>
    <t>Eternal Limited (ETERNAL.NS)</t>
  </si>
  <si>
    <t>DCF Studio - Base case</t>
  </si>
  <si>
    <t>Blue figures on a cream fill are inputs. Every other figure is a formula - change an input and the model reprices. Currency figures are INR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</si>
  <si>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</si>
  <si>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</si>
  <si>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</si>
  <si>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</si>
  <si>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</si>
  <si>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</si>
  <si>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</si>
  <si>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</si>
  <si>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</si>
  <si>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</si>
  <si>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</si>
  <si>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Discount rate</t>
  </si>
  <si>
    <t>Risk-free rate</t>
  </si>
  <si>
    <t>INR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</si>
  <si>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</si>
  <si>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</si>
  <si>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</si>
  <si>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</si>
  <si>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</si>
  <si>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Interest expense / average total debt</t>
  </si>
  <si>
    <t>Market capitalisation (INR m)</t>
  </si>
  <si>
    <t>Total debt (INR m)</t>
  </si>
  <si>
    <t>Equity weight</t>
  </si>
  <si>
    <t>Debt weight</t>
  </si>
  <si>
    <t>WACC</t>
  </si>
  <si>
    <t>Base year</t>
  </si>
  <si>
    <t>Revenue, last reported year (INR m)</t>
  </si>
  <si>
    <t>Fiscal year ended 2026-03-31</t>
  </si>
  <si>
    <t>Net debt (INR m)</t>
  </si>
  <si>
    <t>Diluted shares</t>
  </si>
  <si>
    <t>Mid-year discounting (1 = yes, 0 = no)</t>
  </si>
  <si>
    <t>Terminal year on a steady-state footing (1 = yes, 0 = no)</t>
  </si>
  <si>
    <t>Forecast cashflows (INR m)</t>
  </si>
  <si>
    <t>Every figure below is a formula. Edit the drivers on Assumptions.</t>
  </si>
  <si>
    <t>Year</t>
  </si>
  <si>
    <t>FY27</t>
  </si>
  <si>
    <t>FY28</t>
  </si>
  <si>
    <t>FY29</t>
  </si>
  <si>
    <t>FY30</t>
  </si>
  <si>
    <t>FY31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</si>
  <si>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</si>
  <si>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</si>
  <si>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</si>
  <si>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</si>
  <si>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</si>
  <si>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</si>
  <si>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</si>
  <si>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</si>
  <si>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</si>
  <si>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</si>
  <si>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(INR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</si>
  <si>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</si>
  <si>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</si>
  <si>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</si>
  <si>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</si>
  <si>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</si>
  <si>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</si>
  <si>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</si>
  <si>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</si>
  <si>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</si>
  <si>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</si>
  <si>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</si>
  <si>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</si>
  <si>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</si>
  <si>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</si>
  <si>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</si>
  <si>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(INR)</t>
  </si>
  <si>
    <t>Conversion, INR to INR</t>
  </si>
  <si>
    <t>Same currency, no conversion</t>
  </si>
  <si>
    <t>Value per share (INR)</t>
  </si>
  <si>
    <t>Implied upside</t>
  </si>
  <si>
    <t>Value per share (INR)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</si>
  <si>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</si>
  <si>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(INR m, except shares)</t>
  </si>
  <si>
    <t>What the model was built from. "derived" means the figure was not reported and was computed - the note says how.</t>
  </si>
  <si>
    <t>Fiscal year end</t>
  </si>
  <si>
    <t>2026-03-31</t>
  </si>
  <si>
    <t>2025-03-31</t>
  </si>
  <si>
    <t>2024-03-31</t>
  </si>
  <si>
    <t>2023-03-31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</si>
  <si>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</si>
  <si>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</si>
  <si>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</si>
  <si>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</si>
  <si>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</si>
  <si>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</si>
  <si>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</si>
  <si>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</si>
  <si>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</si>
  <si>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</si>
  <si>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</si>
  <si>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</si>
  <si>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</si>
  <si>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</si>
  <si>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</si>
  <si>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Free cashflow is negative in at least one forecast year, so terminal value carries most of the valuation.</t>
  </si>
  <si>
    <t>Note: Risk-free rate is an assumption: INR assumption - no free live source available for this market.</t>
  </si>
  <si>
    <t>Current EV/EBITDA of 193.5x sits outside a defensible 3-20x band, so the exit multiple is capped at 20.0x. A multiple that far out usually means EBITDA is the wrong denominator for this business.</t>
  </si>
  <si>
    <t>Data: Yahoo Finance. Risk-free rate: INR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</si>
</sst>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0.5</v>
      </c>
    </row>
    <row r="7" spans="1:2" x14ac:dyDescent="0.25">
      <c r="A7" t="s">
        <v>5</v>
      </c>
      <c r="B7" s="6">
        <v>-0.06439580750698189</v>
      </c>
    </row>
    <row r="8" spans="1:2" x14ac:dyDescent="0.25">
      <c r="A8" t="s">
        <v>6</v>
      </c>
      <c r="B8" s="6">
        <v>0.252</v>
      </c>
    </row>
    <row r="9" spans="1:2" x14ac:dyDescent="0.25">
      <c r="A9" t="s">
        <v>7</v>
      </c>
      <c r="B9" s="6">
        <v>0.04438672388719319</v>
      </c>
    </row>
    <row r="10" spans="1:2" x14ac:dyDescent="0.25">
      <c r="A10" t="s">
        <v>8</v>
      </c>
      <c r="B10" s="6">
        <v>0.027709040216193213</v>
      </c>
    </row>
    <row r="11" spans="1:2" x14ac:dyDescent="0.25">
      <c r="A11" t="s">
        <v>9</v>
      </c>
      <c r="B11" s="6">
        <v>0.0359895665425984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20</v>
      </c>
    </row>
    <row r="14" spans="1:3" x14ac:dyDescent="0.25">
      <c r="A14" t="s">
        <v>12</v>
      </c>
      <c r="B14" s="6">
        <v>0.1066494752806311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0.068</v>
      </c>
      <c r="C17" s="8" t="s">
        <v>16</v>
      </c>
    </row>
    <row r="18" spans="1:2" x14ac:dyDescent="0.25">
      <c r="A18" t="s">
        <v>17</v>
      </c>
      <c r="B18" s="6">
        <v>0.08</v>
      </c>
    </row>
    <row r="19" spans="1:3" x14ac:dyDescent="0.25">
      <c r="A19" t="s">
        <v>18</v>
      </c>
      <c r="B19" s="9">
        <v>0.48678</v>
      </c>
      <c r="C19" s="8" t="s">
        <v>19</v>
      </c>
    </row>
    <row r="20" spans="1:2" x14ac:dyDescent="0.25">
      <c r="A20" t="s">
        <v>20</v>
      </c>
      <c r="B20" s="10">
        <f>B17+B19*B18</f>
        <v>0.1069424</v>
      </c>
    </row>
    <row r="21" spans="1:3" x14ac:dyDescent="0.25">
      <c r="A21" t="s">
        <v>21</v>
      </c>
      <c r="B21" s="6">
        <v>0.11692029531414797</v>
      </c>
      <c r="C21" s="8" t="s">
        <v>22</v>
      </c>
    </row>
    <row r="22" spans="1:2" x14ac:dyDescent="0.25">
      <c r="A22" t="s">
        <v>23</v>
      </c>
      <c r="B22" s="11">
        <v>3008782925824</v>
      </c>
    </row>
    <row r="23" spans="1:2" x14ac:dyDescent="0.25">
      <c r="A23" t="s">
        <v>24</v>
      </c>
      <c r="B23" s="11">
        <v>45920000000</v>
      </c>
    </row>
    <row r="24" spans="1:2" x14ac:dyDescent="0.25">
      <c r="A24" t="s">
        <v>25</v>
      </c>
      <c r="B24" s="10">
        <f>B22/(B22+B23)</f>
        <v>0.984967441641608</v>
      </c>
    </row>
    <row r="25" spans="1:2" x14ac:dyDescent="0.25">
      <c r="A25" t="s">
        <v>26</v>
      </c>
      <c r="B25" s="10">
        <f>1-B24</f>
        <v>0.015032558358392012</v>
      </c>
    </row>
    <row r="26" spans="1:2" x14ac:dyDescent="0.25">
      <c r="A26" t="s">
        <v>27</v>
      </c>
      <c r="B26" s="12">
        <f>B24*B20+B25*B21*(1-B8)</f>
        <v>0.1066494752806311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543640000000</v>
      </c>
      <c r="C29" s="8" t="s">
        <v>30</v>
      </c>
    </row>
    <row r="30" spans="1:2" x14ac:dyDescent="0.25">
      <c r="A30" t="s">
        <v>31</v>
      </c>
      <c r="B30" s="11">
        <v>-39940000000</v>
      </c>
    </row>
    <row r="31" spans="1:2" x14ac:dyDescent="0.25">
      <c r="A31" t="s">
        <v>32</v>
      </c>
      <c r="B31" s="13">
        <v>9282220411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0.5</v>
      </c>
      <c r="C5" s="10">
        <f>Assumptions!B6</f>
        <v>0.5</v>
      </c>
      <c r="D5" s="10">
        <f>Assumptions!B6</f>
        <v>0.5</v>
      </c>
      <c r="E5" s="10">
        <f>Assumptions!B6</f>
        <v>0.5</v>
      </c>
      <c r="F5" s="10">
        <f>Assumptions!B6</f>
        <v>0.5</v>
      </c>
    </row>
    <row r="6" spans="1:6" x14ac:dyDescent="0.25">
      <c r="A6" t="s">
        <v>43</v>
      </c>
      <c r="B6" s="18">
        <f>Assumptions!B29*(1+B5)</f>
        <v>815460000000</v>
      </c>
      <c r="C6" s="18">
        <f>B6*(1+C5)</f>
        <v>1223190000000</v>
      </c>
      <c r="D6" s="18">
        <f>C6*(1+D5)</f>
        <v>1834785000000</v>
      </c>
      <c r="E6" s="18">
        <f>D6*(1+E5)</f>
        <v>2752177500000</v>
      </c>
      <c r="F6" s="18">
        <f>E6*(1+F5)</f>
        <v>4128266250000</v>
      </c>
    </row>
    <row r="7" spans="1:6" x14ac:dyDescent="0.25">
      <c r="A7" t="s">
        <v>5</v>
      </c>
      <c r="B7" s="10">
        <f>Assumptions!B7</f>
        <v>-0.06439580750698189</v>
      </c>
      <c r="C7" s="10">
        <f>Assumptions!B7</f>
        <v>-0.06439580750698189</v>
      </c>
      <c r="D7" s="10">
        <f>Assumptions!B7</f>
        <v>-0.06439580750698189</v>
      </c>
      <c r="E7" s="10">
        <f>Assumptions!B7</f>
        <v>-0.06439580750698189</v>
      </c>
      <c r="F7" s="10">
        <f>Assumptions!B7</f>
        <v>-0.06439580750698189</v>
      </c>
    </row>
    <row r="8" spans="1:6" x14ac:dyDescent="0.25">
      <c r="A8" t="s">
        <v>44</v>
      </c>
      <c r="B8" s="18">
        <f>B6*B7</f>
        <v>-52512205189.64345</v>
      </c>
      <c r="C8" s="18">
        <f>C6*C7</f>
        <v>-78768307784.46518</v>
      </c>
      <c r="D8" s="18">
        <f>D6*D7</f>
        <v>-118152461676.69775</v>
      </c>
      <c r="E8" s="18">
        <f>E6*E7</f>
        <v>-177228692515.04663</v>
      </c>
      <c r="F8" s="18">
        <f>F6*F7</f>
        <v>-265843038772.56995</v>
      </c>
    </row>
    <row r="9" spans="1:6" x14ac:dyDescent="0.25">
      <c r="A9" t="s">
        <v>45</v>
      </c>
      <c r="B9" s="18">
        <f>B8*(1-Assumptions!B8)</f>
        <v>-39279129481.8533</v>
      </c>
      <c r="C9" s="18">
        <f>C8*(1-Assumptions!B8)</f>
        <v>-58918694222.77995</v>
      </c>
      <c r="D9" s="18">
        <f>D8*(1-Assumptions!B8)</f>
        <v>-88378041334.16992</v>
      </c>
      <c r="E9" s="18">
        <f>E8*(1-Assumptions!B8)</f>
        <v>-132567062001.25488</v>
      </c>
      <c r="F9" s="18">
        <f>F8*(1-Assumptions!B8)</f>
        <v>-198850593001.88232</v>
      </c>
    </row>
    <row r="10" spans="1:6" x14ac:dyDescent="0.25">
      <c r="A10" t="s">
        <v>46</v>
      </c>
      <c r="B10" s="18">
        <f>B6*Assumptions!B9</f>
        <v>36195597861.05056</v>
      </c>
      <c r="C10" s="18">
        <f>C6*Assumptions!B9</f>
        <v>54293396791.575836</v>
      </c>
      <c r="D10" s="18">
        <f>D6*Assumptions!B9</f>
        <v>81440095187.36375</v>
      </c>
      <c r="E10" s="18">
        <f>E6*Assumptions!B9</f>
        <v>122160142781.04564</v>
      </c>
      <c r="F10" s="18">
        <f>F6*Assumptions!B9</f>
        <v>183240214171.56845</v>
      </c>
    </row>
    <row r="11" spans="1:6" x14ac:dyDescent="0.25">
      <c r="A11" t="s">
        <v>47</v>
      </c>
      <c r="B11" s="18">
        <f>-B6*Assumptions!B10</f>
        <v>-22595613934.69692</v>
      </c>
      <c r="C11" s="18">
        <f>-C6*Assumptions!B10</f>
        <v>-33893420902.045376</v>
      </c>
      <c r="D11" s="18">
        <f>-D6*Assumptions!B10</f>
        <v>-50840131353.06806</v>
      </c>
      <c r="E11" s="18">
        <f>-E6*Assumptions!B10</f>
        <v>-76260197029.6021</v>
      </c>
      <c r="F11" s="18">
        <f>-F6*Assumptions!B10</f>
        <v>-114390295544.40315</v>
      </c>
    </row>
    <row r="12" spans="1:6" x14ac:dyDescent="0.25">
      <c r="A12" t="s">
        <v>48</v>
      </c>
      <c r="B12" s="18">
        <f>-(B6-Assumptions!B29)*Assumptions!B11</f>
        <v>-9782683977.609097</v>
      </c>
      <c r="C12" s="18">
        <f>-(C6-B6)*Assumptions!B11</f>
        <v>-14674025966.413645</v>
      </c>
      <c r="D12" s="18">
        <f>-(D6-C6)*Assumptions!B11</f>
        <v>-22011038949.62047</v>
      </c>
      <c r="E12" s="18">
        <f>-(E6-D6)*Assumptions!B11</f>
        <v>-33016558424.4307</v>
      </c>
      <c r="F12" s="18">
        <f>-(F6-E6)*Assumptions!B11</f>
        <v>-49524837636.64605</v>
      </c>
    </row>
    <row r="13" spans="1:6" x14ac:dyDescent="0.25">
      <c r="A13" s="19" t="s">
        <v>49</v>
      </c>
      <c r="B13" s="20">
        <f>B9+B10+B11+B12</f>
        <v>-35461829533.10876</v>
      </c>
      <c r="C13" s="20">
        <f>C9+C10+C11+C12</f>
        <v>-53192744299.66314</v>
      </c>
      <c r="D13" s="20">
        <f>D9+D10+D11+D12</f>
        <v>-79789116449.49469</v>
      </c>
      <c r="E13" s="20">
        <f>E9+E10+E11+E12</f>
        <v>-119683674674.24203</v>
      </c>
      <c r="F13" s="20">
        <f>F9+F10+F11+F12</f>
        <v>-179525512011.36307</v>
      </c>
    </row>
    <row r="14" spans="1:6" x14ac:dyDescent="0.25">
      <c r="A14" t="s">
        <v>50</v>
      </c>
      <c r="B14" s="21">
        <f>1/(1+Assumptions!$B$26)^(1-0.5*Assumptions!$B$32)</f>
        <v>0.9505937592600956</v>
      </c>
      <c r="C14" s="21">
        <f>1/(1+Assumptions!$B$26)^(2-0.5*Assumptions!$B$32)</f>
        <v>0.8589836081737066</v>
      </c>
      <c r="D14" s="21">
        <f>1/(1+Assumptions!$B$26)^(3-0.5*Assumptions!$B$32)</f>
        <v>0.7762020652075764</v>
      </c>
      <c r="E14" s="21">
        <f>1/(1+Assumptions!$B$26)^(4-0.5*Assumptions!$B$32)</f>
        <v>0.7013983041113738</v>
      </c>
      <c r="F14" s="21">
        <f>1/(1+Assumptions!$B$26)^(5-0.5*Assumptions!$B$32)</f>
        <v>0.6338034940408831</v>
      </c>
    </row>
    <row r="15" spans="1:6" x14ac:dyDescent="0.25">
      <c r="A15" s="19" t="s">
        <v>51</v>
      </c>
      <c r="B15" s="20">
        <f>B13*B14</f>
        <v>-33709793846.118534</v>
      </c>
      <c r="C15" s="20">
        <f>C13*C14</f>
        <v>-45691695427.186005</v>
      </c>
      <c r="D15" s="20">
        <f>D13*D14</f>
        <v>-61932476969.185585</v>
      </c>
      <c r="E15" s="20">
        <f>E13*E14</f>
        <v>-83945926446.33075</v>
      </c>
      <c r="F15" s="20">
        <f>F13*F14</f>
        <v>-113783896782.28044</v>
      </c>
    </row>
    <row r="17" spans="1:2" x14ac:dyDescent="0.25">
      <c r="A17" s="22" t="s">
        <v>52</v>
      </c>
      <c r="B17" s="23">
        <f>SUM(B15:F15)</f>
        <v>-339063789471.1013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-179525512011.36307</v>
      </c>
    </row>
    <row r="5" spans="1:2" x14ac:dyDescent="0.25">
      <c r="A5" t="s">
        <v>56</v>
      </c>
      <c r="B5" s="18">
        <f>IF(Assumptions!$B$33=0,B4,B4-Forecast!F11-Forecast!F10-Forecast!F12)</f>
        <v>-140046248623.96838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0.23441278013057718</v>
      </c>
    </row>
    <row r="7" spans="1:2" x14ac:dyDescent="0.25">
      <c r="A7" t="s">
        <v>58</v>
      </c>
      <c r="B7" s="18">
        <f>-MAX(Forecast!F9,0)*B6</f>
        <v>0</v>
      </c>
    </row>
    <row r="8" spans="1:2" x14ac:dyDescent="0.25">
      <c r="A8" t="s">
        <v>59</v>
      </c>
      <c r="B8" s="18">
        <f>IF(OR(Assumptions!$B$33=0,Assumptions!B12&lt;=0),B5,MAX(B5+B7,0))</f>
        <v>0</v>
      </c>
    </row>
    <row r="9" spans="1:2" x14ac:dyDescent="0.25">
      <c r="A9" t="s">
        <v>60</v>
      </c>
      <c r="B9" s="18">
        <f>B8*(1+Assumptions!B12)/(Assumptions!B26-Assumptions!B12)</f>
        <v>0</v>
      </c>
    </row>
    <row r="10" spans="1:2" x14ac:dyDescent="0.25">
      <c r="A10" t="s">
        <v>61</v>
      </c>
      <c r="B10" s="18">
        <f>B9/(1+Assumptions!B26)^(5-0.5*Assumptions!B32)</f>
        <v>0</v>
      </c>
    </row>
    <row r="11" spans="1:2" x14ac:dyDescent="0.25">
      <c r="A11" t="s">
        <v>62</v>
      </c>
      <c r="B11" s="18">
        <f>Forecast!B17+B10</f>
        <v>-339063789471.1013</v>
      </c>
    </row>
    <row r="12" spans="1:2" x14ac:dyDescent="0.25">
      <c r="A12" t="s">
        <v>63</v>
      </c>
      <c r="B12" s="18">
        <f>-Assumptions!B30</f>
        <v>39940000000</v>
      </c>
    </row>
    <row r="13" spans="1:2" x14ac:dyDescent="0.25">
      <c r="A13" t="s">
        <v>64</v>
      </c>
      <c r="B13" s="18">
        <f>B11+B12</f>
        <v>-299123789471.1013</v>
      </c>
    </row>
    <row r="14" spans="1:2" x14ac:dyDescent="0.25">
      <c r="A14" s="19" t="s">
        <v>65</v>
      </c>
      <c r="B14" s="24">
        <f>B13/Assumptions!B31</f>
        <v>-32.2254564346071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-82602824601.0015</v>
      </c>
    </row>
    <row r="18" spans="1:2" x14ac:dyDescent="0.25">
      <c r="A18" t="s">
        <v>60</v>
      </c>
      <c r="B18" s="18">
        <f>B17*Assumptions!B13</f>
        <v>-1652056492020.0298</v>
      </c>
    </row>
    <row r="19" spans="1:2" x14ac:dyDescent="0.25">
      <c r="A19" t="s">
        <v>61</v>
      </c>
      <c r="B19" s="18">
        <f>B18/(1+Assumptions!B26)^(5-0.5*Assumptions!B32)</f>
        <v>-1047079176995.2192</v>
      </c>
    </row>
    <row r="20" spans="1:2" x14ac:dyDescent="0.25">
      <c r="A20" t="s">
        <v>62</v>
      </c>
      <c r="B20" s="18">
        <f>Forecast!B17+B19</f>
        <v>-1386142966466.3206</v>
      </c>
    </row>
    <row r="21" spans="1:2" x14ac:dyDescent="0.25">
      <c r="A21" t="s">
        <v>63</v>
      </c>
      <c r="B21" s="18">
        <f>-Assumptions!B30</f>
        <v>39940000000</v>
      </c>
    </row>
    <row r="22" spans="1:2" x14ac:dyDescent="0.25">
      <c r="A22" t="s">
        <v>64</v>
      </c>
      <c r="B22" s="18">
        <f>B20+B21</f>
        <v>-1346202966466.3206</v>
      </c>
    </row>
    <row r="23" spans="1:2" x14ac:dyDescent="0.25">
      <c r="A23" s="19" t="s">
        <v>65</v>
      </c>
      <c r="B23" s="25">
        <f>B22/Assumptions!B31</f>
        <v>-145.0302736693246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326.85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-32.2254564346071</v>
      </c>
    </row>
    <row r="29" spans="1:2" x14ac:dyDescent="0.25">
      <c r="A29" s="19" t="s">
        <v>73</v>
      </c>
      <c r="B29" s="12">
        <f>B28/B26-1</f>
        <v>-1.0985940230521862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0.086649</v>
      </c>
      <c r="B5" s="31">
        <v>-34.351141828403236</v>
      </c>
      <c r="C5" s="31">
        <v>-34.351141828403236</v>
      </c>
      <c r="D5" s="31">
        <v>-34.351141828403236</v>
      </c>
      <c r="E5" s="31">
        <v>-34.351141828403236</v>
      </c>
      <c r="F5" s="31">
        <v>-34.351141828403236</v>
      </c>
    </row>
    <row r="6" spans="1:6" x14ac:dyDescent="0.25">
      <c r="A6" s="30">
        <v>0.096649</v>
      </c>
      <c r="B6" s="31">
        <v>-33.265689565518535</v>
      </c>
      <c r="C6" s="31">
        <v>-33.265689565518535</v>
      </c>
      <c r="D6" s="31">
        <v>-33.265689565518535</v>
      </c>
      <c r="E6" s="31">
        <v>-33.265689565518535</v>
      </c>
      <c r="F6" s="31">
        <v>-33.265689565518535</v>
      </c>
    </row>
    <row r="7" spans="1:6" x14ac:dyDescent="0.25">
      <c r="A7" s="30">
        <v>0.106649</v>
      </c>
      <c r="B7" s="31">
        <v>-32.22550483467605</v>
      </c>
      <c r="C7" s="31">
        <v>-32.22550483467605</v>
      </c>
      <c r="D7" s="32">
        <v>-32.22550483467605</v>
      </c>
      <c r="E7" s="31">
        <v>-32.22550483467605</v>
      </c>
      <c r="F7" s="31">
        <v>-32.22550483467605</v>
      </c>
    </row>
    <row r="8" spans="1:6" x14ac:dyDescent="0.25">
      <c r="A8" s="30">
        <v>0.116649</v>
      </c>
      <c r="B8" s="31">
        <v>-31.228233103062664</v>
      </c>
      <c r="C8" s="31">
        <v>-31.228233103062664</v>
      </c>
      <c r="D8" s="31">
        <v>-31.228233103062664</v>
      </c>
      <c r="E8" s="31">
        <v>-31.228233103062664</v>
      </c>
      <c r="F8" s="31">
        <v>-31.228233103062664</v>
      </c>
    </row>
    <row r="9" spans="1:6" x14ac:dyDescent="0.25">
      <c r="A9" s="30">
        <v>0.126649</v>
      </c>
      <c r="B9" s="31">
        <v>-30.271664280970246</v>
      </c>
      <c r="C9" s="31">
        <v>-30.271664280970246</v>
      </c>
      <c r="D9" s="31">
        <v>-30.271664280970246</v>
      </c>
      <c r="E9" s="31">
        <v>-30.271664280970246</v>
      </c>
      <c r="F9" s="31">
        <v>-30.271664280970246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543640000000</v>
      </c>
      <c r="C5" s="18">
        <v>202430000000</v>
      </c>
      <c r="D5" s="18">
        <v>121140000000</v>
      </c>
      <c r="E5" s="18">
        <v>70350000000</v>
      </c>
      <c r="F5" s="8" t="s">
        <v>84</v>
      </c>
    </row>
    <row r="6" spans="1:6" x14ac:dyDescent="0.25">
      <c r="A6" t="s">
        <v>44</v>
      </c>
      <c r="B6" s="18">
        <v>-630000000</v>
      </c>
      <c r="C6" s="18">
        <v>100000000</v>
      </c>
      <c r="D6" s="18">
        <v>-3830000000</v>
      </c>
      <c r="E6" s="18">
        <v>-15850000000</v>
      </c>
      <c r="F6" s="8" t="s">
        <v>85</v>
      </c>
    </row>
    <row r="7" spans="1:6" x14ac:dyDescent="0.25">
      <c r="A7" t="s">
        <v>86</v>
      </c>
      <c r="B7" s="18">
        <v>15970000000</v>
      </c>
      <c r="C7" s="18">
        <v>8630000000</v>
      </c>
      <c r="D7" s="18">
        <v>5260000000</v>
      </c>
      <c r="E7" s="18">
        <v>4370000000</v>
      </c>
      <c r="F7" s="8" t="s">
        <v>87</v>
      </c>
    </row>
    <row r="8" spans="1:6" x14ac:dyDescent="0.25">
      <c r="A8" t="s">
        <v>88</v>
      </c>
      <c r="B8" s="18">
        <v>17510000000</v>
      </c>
      <c r="C8" s="18">
        <v>9360000000</v>
      </c>
      <c r="D8" s="18">
        <v>2150000000</v>
      </c>
      <c r="E8" s="18">
        <v>1030000000</v>
      </c>
      <c r="F8" s="8" t="s">
        <v>89</v>
      </c>
    </row>
    <row r="9" spans="1:6" x14ac:dyDescent="0.25">
      <c r="A9" t="s">
        <v>90</v>
      </c>
      <c r="B9" s="18">
        <v>12280000000</v>
      </c>
      <c r="C9" s="18">
        <v>10930000000</v>
      </c>
      <c r="D9" s="18">
        <v>-1180000000</v>
      </c>
      <c r="E9" s="18">
        <v>1760000000</v>
      </c>
      <c r="F9" s="8" t="s">
        <v>91</v>
      </c>
    </row>
    <row r="10" spans="1:6" x14ac:dyDescent="0.25">
      <c r="A10" t="s">
        <v>92</v>
      </c>
      <c r="B10" s="18">
        <v>45920000000</v>
      </c>
      <c r="C10" s="18">
        <v>20450000000</v>
      </c>
      <c r="D10" s="18">
        <v>7490000000</v>
      </c>
      <c r="E10" s="18">
        <v>5070000000</v>
      </c>
      <c r="F10" s="8" t="s">
        <v>93</v>
      </c>
    </row>
    <row r="11" spans="1:6" x14ac:dyDescent="0.25">
      <c r="A11" t="s">
        <v>94</v>
      </c>
      <c r="B11" s="18">
        <v>85860000000</v>
      </c>
      <c r="C11" s="18">
        <v>76380000000</v>
      </c>
      <c r="D11" s="18">
        <v>34050000000</v>
      </c>
      <c r="E11" s="18">
        <v>94080000000</v>
      </c>
      <c r="F11" s="8" t="s">
        <v>95</v>
      </c>
    </row>
    <row r="12" spans="1:6" x14ac:dyDescent="0.25">
      <c r="A12" t="s">
        <v>32</v>
      </c>
      <c r="B12" s="34">
        <v>9282220411</v>
      </c>
      <c r="C12" s="34">
        <v>9135875433</v>
      </c>
      <c r="D12" s="34">
        <v>8755246830</v>
      </c>
      <c r="E12" s="34">
        <v>8101158888</v>
      </c>
      <c r="F12" s="8" t="s">
        <v>96</v>
      </c>
    </row>
    <row r="15" spans="1:1" x14ac:dyDescent="0.25">
      <c r="A15" s="19" t="s">
        <v>97</v>
      </c>
    </row>
    <row r="16" ht="22" customHeight="1" spans="1:6" x14ac:dyDescent="0.25">
      <c r="A16" s="35" t="s">
        <v>98</v>
      </c>
      <c r="B16" s="35"/>
      <c r="C16" s="35"/>
      <c r="D16" s="35"/>
      <c r="E16" s="35"/>
      <c r="F16" s="35"/>
    </row>
    <row r="17" ht="22" customHeight="1" spans="1:6" x14ac:dyDescent="0.25">
      <c r="A17" s="35" t="s">
        <v>99</v>
      </c>
      <c r="B17" s="35"/>
      <c r="C17" s="35"/>
      <c r="D17" s="35"/>
      <c r="E17" s="35"/>
      <c r="F17" s="35"/>
    </row>
    <row r="18" ht="38" customHeight="1" spans="1:6" x14ac:dyDescent="0.25">
      <c r="A18" s="35" t="s">
        <v>100</v>
      </c>
      <c r="B18" s="35"/>
      <c r="C18" s="35"/>
      <c r="D18" s="35"/>
      <c r="E18" s="35"/>
      <c r="F18" s="35"/>
    </row>
    <row r="20" spans="1:1" x14ac:dyDescent="0.25">
      <c r="A20" s="36" t="s">
        <v>101</v>
      </c>
    </row>
  </sheetData>
  <mergeCells count="3">
    <mergeCell ref="A16:F16"/>
    <mergeCell ref="A17:F17"/>
    <mergeCell ref="A18:F18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2026-09-19T00:08:36Z</dcterms:modified>
</cp:coreProperties>
</file>