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<sst xmlns="http://schemas.openxmlformats.org/spreadsheetml/2006/main" count="120" uniqueCount="107">
  <si>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Eaton Corporation plc (ETN)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</si>
  <si>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</si>
  <si>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</si>
  <si>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</si>
  <si>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</si>
  <si>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</si>
  <si>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</si>
  <si>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</si>
  <si>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</si>
  <si>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</si>
  <si>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</si>
  <si>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</si>
  <si>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</si>
  <si>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</si>
  <si>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</si>
  <si>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</si>
  <si>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</si>
  <si>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</si>
  <si>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</si>
  <si>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</si>
  <si>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</si>
  <si>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</si>
  <si>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</si>
  <si>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</si>
  <si>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21.6x interest cover. Book interest / average debt was lower, at 2.4%.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</si>
  <si>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</si>
  <si>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</si>
  <si>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</si>
  <si>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</si>
  <si>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</si>
  <si>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</si>
  <si>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</si>
  <si>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</si>
  <si>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</si>
  <si>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</si>
  <si>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</si>
  <si>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</si>
  <si>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</si>
  <si>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</si>
  <si>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</si>
  <si>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</si>
  <si>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</si>
  <si>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</si>
  <si>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</si>
  <si>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</si>
  <si>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</si>
  <si>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</si>
  <si>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</si>
  <si>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</si>
  <si>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</si>
  <si>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</si>
  <si>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</si>
  <si>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</si>
  <si>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</si>
  <si>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</si>
  <si>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</si>
  <si>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</si>
  <si>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</si>
  <si>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</si>
  <si>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</si>
  <si>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</si>
  <si>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</si>
  <si>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</si>
  <si>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</si>
  <si>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</si>
  <si>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</si>
  <si>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</si>
  <si>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</si>
  <si>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</si>
  <si>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</si>
  <si>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</si>
  <si>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</si>
  <si>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</si>
  <si>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</si>
  <si>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</si>
  <si>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</si>
  <si>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</si>
  <si>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</si>
  <si>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</si>
  <si>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</si>
  <si>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</si>
  <si>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</si>
  <si>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</si>
  <si>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</si>
  <si>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</si>
  <si>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</si>
  <si>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</si>
  <si>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</si>
  <si>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</si>
  <si>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</si>
  <si>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</si>
  <si>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</si>
  <si>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</si>
  <si>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</si>
  <si>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</si>
  <si>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</si>
  <si>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</si>
  <si>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</si>
  <si>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</si>
  <si>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</si>
  <si>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</si>
  <si>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</si>
  <si>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</si>
  <si>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</si>
  <si>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</si>
  <si>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24.7x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</si>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</sst>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0.1987997227484699</v>
      </c>
    </row>
    <row r="7" spans="1:2" x14ac:dyDescent="0.25">
      <c r="A7" t="s">
        <v>4</v>
      </c>
      <c r="B7" s="5">
        <v>0.17194371135468017</v>
      </c>
    </row>
    <row r="8" spans="1:2" x14ac:dyDescent="0.25">
      <c r="A8" t="s">
        <v>5</v>
      </c>
      <c r="B8" s="5">
        <v>0.16301285526759002</v>
      </c>
    </row>
    <row r="9" spans="1:2" x14ac:dyDescent="0.25">
      <c r="A9" t="s">
        <v>6</v>
      </c>
      <c r="B9" s="5">
        <v>0.03989098288860418</v>
      </c>
    </row>
    <row r="10" spans="1:3" x14ac:dyDescent="0.25">
      <c r="A10" t="s">
        <v>7</v>
      </c>
      <c r="B10" s="5">
        <v>0.03185285600119635</v>
      </c>
      <c r="C10" s="6" t="s">
        <v>8</v>
      </c>
    </row>
    <row r="11" spans="1:2" x14ac:dyDescent="0.25">
      <c r="A11" t="s">
        <v>9</v>
      </c>
      <c r="B11" s="5">
        <v>0.21135540776644685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0.12757279161248736</v>
      </c>
      <c r="C14" s="6" t="s">
        <v>13</v>
      </c>
    </row>
    <row r="15" spans="1:3" x14ac:dyDescent="0.25">
      <c r="A15" t="s">
        <v>14</v>
      </c>
      <c r="B15" s="5">
        <v>0.03989098288860418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1.08576</v>
      </c>
      <c r="C19" s="6" t="s">
        <v>21</v>
      </c>
    </row>
    <row r="20" spans="1:2" x14ac:dyDescent="0.25">
      <c r="A20" t="s">
        <v>22</v>
      </c>
      <c r="B20" s="9">
        <f>B17+B19*B18</f>
        <v>0.094867648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143696347136</v>
      </c>
    </row>
    <row r="23" spans="1:2" x14ac:dyDescent="0.25">
      <c r="A23" t="s">
        <v>26</v>
      </c>
      <c r="B23" s="10">
        <v>10532000000</v>
      </c>
    </row>
    <row r="24" spans="1:2" x14ac:dyDescent="0.25">
      <c r="A24" t="s">
        <v>27</v>
      </c>
      <c r="B24" s="9">
        <f>B22/(B22+B23)</f>
        <v>0.931711645779924</v>
      </c>
    </row>
    <row r="25" spans="1:2" x14ac:dyDescent="0.25">
      <c r="A25" t="s">
        <v>28</v>
      </c>
      <c r="B25" s="9">
        <f>1-B24</f>
        <v>0.06828835422007595</v>
      </c>
    </row>
    <row r="26" spans="1:2" x14ac:dyDescent="0.25">
      <c r="A26" t="s">
        <v>29</v>
      </c>
      <c r="B26" s="11">
        <f>B24*B20+B25*B21*(1-B8)</f>
        <v>0.09141515621558174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27448000000</v>
      </c>
      <c r="C29" s="6" t="s">
        <v>32</v>
      </c>
    </row>
    <row r="30" spans="1:2" x14ac:dyDescent="0.25">
      <c r="A30" t="s">
        <v>33</v>
      </c>
      <c r="B30" s="10">
        <v>9729000000</v>
      </c>
    </row>
    <row r="31" spans="1:2" x14ac:dyDescent="0.25">
      <c r="A31" t="s">
        <v>34</v>
      </c>
      <c r="B31" s="12">
        <v>391200000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0.1987997227484699</v>
      </c>
      <c r="C5" s="5">
        <v>0.1227178454164235</v>
      </c>
      <c r="D5" s="5">
        <v>0.11050311473937056</v>
      </c>
      <c r="E5" s="5">
        <v>0.09828838406231763</v>
      </c>
      <c r="F5" s="5">
        <v>0.08607365338526468</v>
      </c>
      <c r="G5" s="5">
        <v>0.07385892270821175</v>
      </c>
      <c r="H5" s="5">
        <v>0.06164419203115881</v>
      </c>
      <c r="I5" s="5">
        <v>0.049429461354105864</v>
      </c>
      <c r="J5" s="5">
        <v>0.03721473067705293</v>
      </c>
      <c r="K5" s="5">
        <v>0.024999999999999994</v>
      </c>
    </row>
    <row r="6" spans="1:11" x14ac:dyDescent="0.25">
      <c r="A6" t="s">
        <v>50</v>
      </c>
      <c r="B6" s="18">
        <f>Assumptions!B29*(1+B5)</f>
        <v>32904654790.000004</v>
      </c>
      <c r="C6" s="18">
        <f>B6*(1+C5)</f>
        <v>36942643130</v>
      </c>
      <c r="D6" s="18">
        <f>C6*(1+D5)</f>
        <v>41024920262.57001</v>
      </c>
      <c r="E6" s="18">
        <f>D6*(1+E5)</f>
        <v>45057193381.46345</v>
      </c>
      <c r="F6" s="18">
        <f>E6*(1+F5)</f>
        <v>48935430627.09237</v>
      </c>
      <c r="G6" s="18">
        <f>F6*(1+G5)</f>
        <v>52549748815.47185</v>
      </c>
      <c r="H6" s="18">
        <f>G6*(1+H5)</f>
        <v>55789135622.64195</v>
      </c>
      <c r="I6" s="18">
        <f>H6*(1+I5)</f>
        <v>58546762545.88031</v>
      </c>
      <c r="J6" s="18">
        <f>I6*(1+J5)</f>
        <v>60725564546.03862</v>
      </c>
      <c r="K6" s="18">
        <f>J6*(1+K5)</f>
        <v>62243703659.68958</v>
      </c>
    </row>
    <row r="7" spans="1:11" x14ac:dyDescent="0.25">
      <c r="A7" t="s">
        <v>4</v>
      </c>
      <c r="B7" s="9">
        <f>Assumptions!B7</f>
        <v>0.17194371135468017</v>
      </c>
      <c r="C7" s="9">
        <f>Assumptions!B7</f>
        <v>0.17194371135468017</v>
      </c>
      <c r="D7" s="9">
        <f>Assumptions!B7</f>
        <v>0.17194371135468017</v>
      </c>
      <c r="E7" s="9">
        <f>Assumptions!B7</f>
        <v>0.17194371135468017</v>
      </c>
      <c r="F7" s="9">
        <f>Assumptions!B7</f>
        <v>0.17194371135468017</v>
      </c>
      <c r="G7" s="9">
        <f>Assumptions!B7</f>
        <v>0.17194371135468017</v>
      </c>
      <c r="H7" s="9">
        <f>Assumptions!B7</f>
        <v>0.17194371135468017</v>
      </c>
      <c r="I7" s="9">
        <f>Assumptions!B7</f>
        <v>0.17194371135468017</v>
      </c>
      <c r="J7" s="9">
        <f>Assumptions!B7</f>
        <v>0.17194371135468017</v>
      </c>
      <c r="K7" s="9">
        <f>Assumptions!B7</f>
        <v>0.17194371135468017</v>
      </c>
    </row>
    <row r="8" spans="1:11" x14ac:dyDescent="0.25">
      <c r="A8" t="s">
        <v>51</v>
      </c>
      <c r="B8" s="18">
        <f>B6*B7</f>
        <v>5657748465.437155</v>
      </c>
      <c r="C8" s="18">
        <f>C6*C7</f>
        <v>6352055167.023679</v>
      </c>
      <c r="D8" s="18">
        <f>D6*D7</f>
        <v>7053977047.976108</v>
      </c>
      <c r="E8" s="18">
        <f>E6*E7</f>
        <v>7747301053.234357</v>
      </c>
      <c r="F8" s="18">
        <f>F6*F7</f>
        <v>8414139558.761746</v>
      </c>
      <c r="G8" s="18">
        <f>G6*G7</f>
        <v>9035598842.088438</v>
      </c>
      <c r="H8" s="18">
        <f>H6*H7</f>
        <v>9592591032.226654</v>
      </c>
      <c r="I8" s="18">
        <f>I6*I7</f>
        <v>10066747639.939844</v>
      </c>
      <c r="J8" s="18">
        <f>J6*J7</f>
        <v>10441378942.154064</v>
      </c>
      <c r="K8" s="18">
        <f>K6*K7</f>
        <v>10702413415.707916</v>
      </c>
    </row>
    <row r="9" spans="1:11" x14ac:dyDescent="0.25">
      <c r="A9" t="s">
        <v>52</v>
      </c>
      <c r="B9" s="18">
        <f>B8*(1-Assumptions!B8)</f>
        <v>4735462733.700418</v>
      </c>
      <c r="C9" s="18">
        <f>C8*(1-Assumptions!B8)</f>
        <v>5316588517.4299</v>
      </c>
      <c r="D9" s="18">
        <f>D8*(1-Assumptions!B8)</f>
        <v>5904088108.3934765</v>
      </c>
      <c r="E9" s="18">
        <f>E8*(1-Assumptions!B8)</f>
        <v>6484391387.929017</v>
      </c>
      <c r="F9" s="18">
        <f>F8*(1-Assumptions!B8)</f>
        <v>7042526644.668015</v>
      </c>
      <c r="G9" s="18">
        <f>G8*(1-Assumptions!B8)</f>
        <v>7562680075.787071</v>
      </c>
      <c r="H9" s="18">
        <f>H8*(1-Assumptions!B8)</f>
        <v>8028875378.649109</v>
      </c>
      <c r="I9" s="18">
        <f>I8*(1-Assumptions!B8)</f>
        <v>8425738363.894977</v>
      </c>
      <c r="J9" s="18">
        <f>J8*(1-Assumptions!B8)</f>
        <v>8739299947.862642</v>
      </c>
      <c r="K9" s="18">
        <f>K8*(1-Assumptions!B8)</f>
        <v>8957782446.559208</v>
      </c>
    </row>
    <row r="10" spans="1:11" x14ac:dyDescent="0.25">
      <c r="A10" t="s">
        <v>53</v>
      </c>
      <c r="B10" s="18">
        <f>B6*Assumptions!B9</f>
        <v>1312599021.1833177</v>
      </c>
      <c r="C10" s="18">
        <f>C6*Assumptions!B9</f>
        <v>1473678344.9586408</v>
      </c>
      <c r="D10" s="18">
        <f>D6*Assumptions!B9</f>
        <v>1636524392.2005312</v>
      </c>
      <c r="E10" s="18">
        <f>E6*Assumptions!B9</f>
        <v>1797375730.188488</v>
      </c>
      <c r="F10" s="18">
        <f>F6*Assumptions!B9</f>
        <v>1952082425.7918186</v>
      </c>
      <c r="G10" s="18">
        <f>G6*Assumptions!B9</f>
        <v>2096261130.7984354</v>
      </c>
      <c r="H10" s="18">
        <f>H6*Assumptions!B9</f>
        <v>2225483454.492828</v>
      </c>
      <c r="I10" s="18">
        <f>I6*Assumptions!B9</f>
        <v>2335487902.9008837</v>
      </c>
      <c r="J10" s="18">
        <f>J6*Assumptions!B9</f>
        <v>2422402456.2068553</v>
      </c>
      <c r="K10" s="18">
        <f>K6*Assumptions!B9</f>
        <v>2482962517.6120267</v>
      </c>
    </row>
    <row r="11" spans="1:11" x14ac:dyDescent="0.25">
      <c r="A11" t="s">
        <v>54</v>
      </c>
      <c r="B11" s="18">
        <f>-B6*B19</f>
        <v>-1048107230.7949457</v>
      </c>
      <c r="C11" s="18">
        <f>-C6*C19</f>
        <v>-1325486821.8097482</v>
      </c>
      <c r="D11" s="18">
        <f>-D6*D19</f>
        <v>-1637153610.747224</v>
      </c>
      <c r="E11" s="18">
        <f>-E6*E19</f>
        <v>-1979500044.1151295</v>
      </c>
      <c r="F11" s="18">
        <f>-F6*F19</f>
        <v>-2346932718.01078</v>
      </c>
      <c r="G11" s="18">
        <f>-G6*G19</f>
        <v>-2731878404.810073</v>
      </c>
      <c r="H11" s="18">
        <f>-H6*H19</f>
        <v>-3124930749.4785075</v>
      </c>
      <c r="I11" s="18">
        <f>-I6*I19</f>
        <v>-3515146525.941438</v>
      </c>
      <c r="J11" s="18">
        <f>-J6*J19</f>
        <v>-3890487342.068785</v>
      </c>
      <c r="K11" s="18">
        <f>-K6*K19</f>
        <v>-4238388250.1164145</v>
      </c>
    </row>
    <row r="12" spans="1:11" x14ac:dyDescent="0.25">
      <c r="A12" t="s">
        <v>55</v>
      </c>
      <c r="B12" s="18">
        <f>-(B6-Assumptions!B29)*Assumptions!B11</f>
        <v>-1153293498.1811862</v>
      </c>
      <c r="C12" s="18">
        <f>-(C6-B6)*Assumptions!B11</f>
        <v>-853450672.156857</v>
      </c>
      <c r="D12" s="18">
        <f>-(D6-C6)*Assumptions!B11</f>
        <v>-862811347.9699752</v>
      </c>
      <c r="E12" s="18">
        <f>-(E6-D6)*Assumptions!B11</f>
        <v>-852242729.2694055</v>
      </c>
      <c r="F12" s="18">
        <f>-(F6-E6)*Assumptions!B11</f>
        <v>-819686414.4649224</v>
      </c>
      <c r="G12" s="18">
        <f>-(G6-F6)*Assumptions!B11</f>
        <v>-763905694.5026301</v>
      </c>
      <c r="H12" s="18">
        <f>-(H6-G6)*Assumptions!B11</f>
        <v>-684661919.5426859</v>
      </c>
      <c r="I12" s="18">
        <f>-(I6-H6)*Assumptions!B11</f>
        <v>-582839362.8287753</v>
      </c>
      <c r="J12" s="18">
        <f>-(J6-I6)*Assumptions!B11</f>
        <v>-460501585.18580955</v>
      </c>
      <c r="K12" s="18">
        <f>-(K6-J6)*Assumptions!B11</f>
        <v>-320866911.41189146</v>
      </c>
    </row>
    <row r="13" spans="1:11" x14ac:dyDescent="0.25">
      <c r="A13" s="19" t="s">
        <v>56</v>
      </c>
      <c r="B13" s="20">
        <f>B9+B10+B11+B12</f>
        <v>3846661025.9076037</v>
      </c>
      <c r="C13" s="20">
        <f>C9+C10+C11+C12</f>
        <v>4611329368.421936</v>
      </c>
      <c r="D13" s="20">
        <f>D9+D10+D11+D12</f>
        <v>5040647541.876808</v>
      </c>
      <c r="E13" s="20">
        <f>E9+E10+E11+E12</f>
        <v>5450024344.73297</v>
      </c>
      <c r="F13" s="20">
        <f>F9+F10+F11+F12</f>
        <v>5827989937.984131</v>
      </c>
      <c r="G13" s="20">
        <f>G9+G10+G11+G12</f>
        <v>6163157107.272803</v>
      </c>
      <c r="H13" s="20">
        <f>H9+H10+H11+H12</f>
        <v>6444766164.120744</v>
      </c>
      <c r="I13" s="20">
        <f>I9+I10+I11+I12</f>
        <v>6663240378.025646</v>
      </c>
      <c r="J13" s="20">
        <f>J9+J10+J11+J12</f>
        <v>6810713476.814904</v>
      </c>
      <c r="K13" s="20">
        <f>K9+K10+K11+K12</f>
        <v>6881489802.642927</v>
      </c>
    </row>
    <row r="14" spans="1:11" x14ac:dyDescent="0.25">
      <c r="A14" t="s">
        <v>57</v>
      </c>
      <c r="B14" s="21">
        <f>1/(1+Assumptions!$B$26)^(1-0.5*Assumptions!$B$32)</f>
        <v>0.9572051130284852</v>
      </c>
      <c r="C14" s="21">
        <f>1/(1+Assumptions!$B$26)^(2-0.5*Assumptions!$B$32)</f>
        <v>0.8770311714815633</v>
      </c>
      <c r="D14" s="21">
        <f>1/(1+Assumptions!$B$26)^(3-0.5*Assumptions!$B$32)</f>
        <v>0.8035724687227339</v>
      </c>
      <c r="E14" s="21">
        <f>1/(1+Assumptions!$B$26)^(4-0.5*Assumptions!$B$32)</f>
        <v>0.7362665472862538</v>
      </c>
      <c r="F14" s="21">
        <f>1/(1+Assumptions!$B$26)^(5-0.5*Assumptions!$B$32)</f>
        <v>0.674598060227801</v>
      </c>
      <c r="G14" s="21">
        <f>1/(1+Assumptions!$B$26)^(6-0.5*Assumptions!$B$32)</f>
        <v>0.6180948252239141</v>
      </c>
      <c r="H14" s="21">
        <f>1/(1+Assumptions!$B$26)^(7-0.5*Assumptions!$B$32)</f>
        <v>0.56632420917364</v>
      </c>
      <c r="I14" s="21">
        <f>1/(1+Assumptions!$B$26)^(8-0.5*Assumptions!$B$32)</f>
        <v>0.518889815620058</v>
      </c>
      <c r="J14" s="21">
        <f>1/(1+Assumptions!$B$26)^(9-0.5*Assumptions!$B$32)</f>
        <v>0.47542844962798386</v>
      </c>
      <c r="K14" s="21">
        <f>1/(1+Assumptions!$B$26)^(10-0.5*Assumptions!$B$32)</f>
        <v>0.4356073368785754</v>
      </c>
    </row>
    <row r="15" spans="1:11" x14ac:dyDescent="0.25">
      <c r="A15" s="19" t="s">
        <v>58</v>
      </c>
      <c r="B15" s="20">
        <f>B13*B14</f>
        <v>3682043602.086157</v>
      </c>
      <c r="C15" s="20">
        <f>C13*C14</f>
        <v>4044279598.074428</v>
      </c>
      <c r="D15" s="20">
        <f>D13*D14</f>
        <v>4050525589.187127</v>
      </c>
      <c r="E15" s="20">
        <f>E13*E14</f>
        <v>4012670606.922572</v>
      </c>
      <c r="F15" s="20">
        <f>F13*F14</f>
        <v>3931550707.191237</v>
      </c>
      <c r="G15" s="20">
        <f>G13*G14</f>
        <v>3809415515.0473075</v>
      </c>
      <c r="H15" s="20">
        <f>H13*H14</f>
        <v>3649827101.204714</v>
      </c>
      <c r="I15" s="20">
        <f>I13*I14</f>
        <v>3457487571.185853</v>
      </c>
      <c r="J15" s="20">
        <f>J13*J14</f>
        <v>3238006949.1425257</v>
      </c>
      <c r="K15" s="20">
        <f>K13*K14</f>
        <v>2997627446.686359</v>
      </c>
    </row>
    <row r="17" spans="1:2" x14ac:dyDescent="0.25">
      <c r="A17" s="22" t="s">
        <v>59</v>
      </c>
      <c r="B17" s="23">
        <f>SUM(B15:K15)</f>
        <v>36873434686.72828</v>
      </c>
    </row>
    <row r="19" spans="1:11" x14ac:dyDescent="0.25">
      <c r="A19" t="s">
        <v>7</v>
      </c>
      <c r="B19" s="9">
        <f>Assumptions!$B$10+($B$20-Assumptions!$B$10)*0/9</f>
        <v>0.03185285600119635</v>
      </c>
      <c r="C19" s="9">
        <f>Assumptions!$B$10+($B$20-Assumptions!$B$10)*1/9</f>
        <v>0.035879588180667034</v>
      </c>
      <c r="D19" s="9">
        <f>Assumptions!$B$10+($B$20-Assumptions!$B$10)*2/9</f>
        <v>0.03990632036013772</v>
      </c>
      <c r="E19" s="9">
        <f>Assumptions!$B$10+($B$20-Assumptions!$B$10)*3/9</f>
        <v>0.0439330525396084</v>
      </c>
      <c r="F19" s="9">
        <f>Assumptions!$B$10+($B$20-Assumptions!$B$10)*4/9</f>
        <v>0.04795978471907909</v>
      </c>
      <c r="G19" s="9">
        <f>Assumptions!$B$10+($B$20-Assumptions!$B$10)*5/9</f>
        <v>0.05198651689854977</v>
      </c>
      <c r="H19" s="9">
        <f>Assumptions!$B$10+($B$20-Assumptions!$B$10)*6/9</f>
        <v>0.05601324907802046</v>
      </c>
      <c r="I19" s="9">
        <f>Assumptions!$B$10+($B$20-Assumptions!$B$10)*7/9</f>
        <v>0.060039981257491146</v>
      </c>
      <c r="J19" s="9">
        <f>Assumptions!$B$10+($B$20-Assumptions!$B$10)*8/9</f>
        <v>0.06406671343696183</v>
      </c>
      <c r="K19" s="9">
        <f>Assumptions!$B$10+($B$20-Assumptions!$B$10)*9/9</f>
        <v>0.06809344561643252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0.06809344561643252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6881489802.642927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8957782446.559208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0.19596655120583642</v>
      </c>
    </row>
    <row r="7" spans="1:2" x14ac:dyDescent="0.25">
      <c r="A7" t="s">
        <v>66</v>
      </c>
      <c r="B7" s="18">
        <f>-MAX(B5,0)*B6</f>
        <v>-1755425732.5043876</v>
      </c>
    </row>
    <row r="8" spans="1:2" x14ac:dyDescent="0.25">
      <c r="A8" t="s">
        <v>67</v>
      </c>
      <c r="B8" s="18">
        <f>IF(OR(Assumptions!$B$33=0,Assumptions!B12&lt;=0),B5,MAX(B5+B7,0))</f>
        <v>7202356714.05482</v>
      </c>
    </row>
    <row r="9" spans="1:2" x14ac:dyDescent="0.25">
      <c r="A9" t="s">
        <v>68</v>
      </c>
      <c r="B9" s="18">
        <f>B8*(1+Assumptions!B12)/(Assumptions!B26-Assumptions!B12)</f>
        <v>111155586353.55873</v>
      </c>
    </row>
    <row r="10" spans="1:2" x14ac:dyDescent="0.25">
      <c r="A10" t="s">
        <v>69</v>
      </c>
      <c r="B10" s="18">
        <f>B9/(1+Assumptions!B26)^(10-0.5*Assumptions!B32)</f>
        <v>48420188950.65024</v>
      </c>
    </row>
    <row r="11" spans="1:2" x14ac:dyDescent="0.25">
      <c r="A11" t="s">
        <v>70</v>
      </c>
      <c r="B11" s="18">
        <f>Forecast!B17+B10</f>
        <v>85293623637.37851</v>
      </c>
    </row>
    <row r="12" spans="1:2" x14ac:dyDescent="0.25">
      <c r="A12" t="s">
        <v>71</v>
      </c>
      <c r="B12" s="18">
        <f>-Assumptions!B30</f>
        <v>-9729000000</v>
      </c>
    </row>
    <row r="13" spans="1:2" x14ac:dyDescent="0.25">
      <c r="A13" t="s">
        <v>72</v>
      </c>
      <c r="B13" s="18">
        <f>B11+B12</f>
        <v>75564623637.37851</v>
      </c>
    </row>
    <row r="14" spans="1:2" x14ac:dyDescent="0.25">
      <c r="A14" s="19" t="s">
        <v>73</v>
      </c>
      <c r="B14" s="24">
        <f>B13/Assumptions!B31</f>
        <v>193.16110336753198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13185375933.319942</v>
      </c>
    </row>
    <row r="18" spans="1:2" x14ac:dyDescent="0.25">
      <c r="A18" t="s">
        <v>68</v>
      </c>
      <c r="B18" s="18">
        <f>B17*Assumptions!B13</f>
        <v>263707518666.39886</v>
      </c>
    </row>
    <row r="19" spans="1:2" x14ac:dyDescent="0.25">
      <c r="A19" t="s">
        <v>69</v>
      </c>
      <c r="B19" s="18">
        <f>B18/(1+Assumptions!B26)^(10-0.5*Assumptions!B32)</f>
        <v>114872929921.12721</v>
      </c>
    </row>
    <row r="20" spans="1:2" x14ac:dyDescent="0.25">
      <c r="A20" t="s">
        <v>70</v>
      </c>
      <c r="B20" s="18">
        <f>Forecast!B17+B19</f>
        <v>151746364607.8555</v>
      </c>
    </row>
    <row r="21" spans="1:2" x14ac:dyDescent="0.25">
      <c r="A21" t="s">
        <v>71</v>
      </c>
      <c r="B21" s="18">
        <f>-Assumptions!B30</f>
        <v>-9729000000</v>
      </c>
    </row>
    <row r="22" spans="1:2" x14ac:dyDescent="0.25">
      <c r="A22" t="s">
        <v>72</v>
      </c>
      <c r="B22" s="18">
        <f>B20+B21</f>
        <v>142017364607.8555</v>
      </c>
    </row>
    <row r="23" spans="1:2" x14ac:dyDescent="0.25">
      <c r="A23" s="19" t="s">
        <v>73</v>
      </c>
      <c r="B23" s="25">
        <f>B22/Assumptions!B31</f>
        <v>363.030073128465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369.97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193.16110336753198</v>
      </c>
    </row>
    <row r="29" spans="1:2" x14ac:dyDescent="0.25">
      <c r="A29" s="19" t="s">
        <v>81</v>
      </c>
      <c r="B29" s="11">
        <f>B28/B26-1</f>
        <v>-0.4779006314903047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0.071415</v>
      </c>
      <c r="B5" s="31">
        <v>271.9918736291282</v>
      </c>
      <c r="C5" s="31">
        <v>279.6401114601599</v>
      </c>
      <c r="D5" s="31">
        <v>289.37111397047494</v>
      </c>
      <c r="E5" s="31">
        <v>301.93923272808615</v>
      </c>
      <c r="F5" s="31">
        <v>318.5131274531483</v>
      </c>
    </row>
    <row r="6" spans="1:6" x14ac:dyDescent="0.25">
      <c r="A6" s="30">
        <v>0.081415</v>
      </c>
      <c r="B6" s="31">
        <v>225.13859125459317</v>
      </c>
      <c r="C6" s="31">
        <v>228.4527956617982</v>
      </c>
      <c r="D6" s="31">
        <v>232.6925249483671</v>
      </c>
      <c r="E6" s="31">
        <v>238.12779512500606</v>
      </c>
      <c r="F6" s="31">
        <v>245.14497080123886</v>
      </c>
    </row>
    <row r="7" spans="1:6" x14ac:dyDescent="0.25">
      <c r="A7" s="30">
        <v>0.091415</v>
      </c>
      <c r="B7" s="31">
        <v>190.68806532507946</v>
      </c>
      <c r="C7" s="31">
        <v>191.71201430555004</v>
      </c>
      <c r="D7" s="32">
        <v>193.1616273303966</v>
      </c>
      <c r="E7" s="31">
        <v>195.1408685885901</v>
      </c>
      <c r="F7" s="31">
        <v>197.79055920040327</v>
      </c>
    </row>
    <row r="8" spans="1:6" x14ac:dyDescent="0.25">
      <c r="A8" s="30">
        <v>0.101415</v>
      </c>
      <c r="B8" s="31">
        <v>164.32503502677653</v>
      </c>
      <c r="C8" s="31">
        <v>164.08691685882027</v>
      </c>
      <c r="D8" s="31">
        <v>164.04091273706206</v>
      </c>
      <c r="E8" s="31">
        <v>164.22737427801073</v>
      </c>
      <c r="F8" s="31">
        <v>164.69880445449775</v>
      </c>
    </row>
    <row r="9" spans="1:6" x14ac:dyDescent="0.25">
      <c r="A9" s="30">
        <v>0.111415</v>
      </c>
      <c r="B9" s="31">
        <v>143.52529158968434</v>
      </c>
      <c r="C9" s="31">
        <v>142.57986015640773</v>
      </c>
      <c r="D9" s="31">
        <v>141.71199916249137</v>
      </c>
      <c r="E9" s="31">
        <v>140.936000281342</v>
      </c>
      <c r="F9" s="31">
        <v>140.26989572772766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27448000000</v>
      </c>
      <c r="C5" s="18">
        <v>24878000000</v>
      </c>
      <c r="D5" s="18">
        <v>23196000000</v>
      </c>
      <c r="E5" s="18">
        <v>20752000000</v>
      </c>
      <c r="F5" s="6" t="s">
        <v>91</v>
      </c>
    </row>
    <row r="6" spans="1:6" x14ac:dyDescent="0.25">
      <c r="A6" t="s">
        <v>51</v>
      </c>
      <c r="B6" s="18">
        <v>5209000000</v>
      </c>
      <c r="C6" s="18">
        <v>4632000000</v>
      </c>
      <c r="D6" s="18">
        <v>3885000000</v>
      </c>
      <c r="E6" s="18">
        <v>2995000000</v>
      </c>
      <c r="F6" s="6" t="s">
        <v>92</v>
      </c>
    </row>
    <row r="7" spans="1:6" x14ac:dyDescent="0.25">
      <c r="A7" t="s">
        <v>93</v>
      </c>
      <c r="B7" s="18">
        <v>1006000000</v>
      </c>
      <c r="C7" s="18">
        <v>921000000</v>
      </c>
      <c r="D7" s="18">
        <v>926000000</v>
      </c>
      <c r="E7" s="18">
        <v>954000000</v>
      </c>
      <c r="F7" s="6" t="s">
        <v>94</v>
      </c>
    </row>
    <row r="8" spans="1:6" x14ac:dyDescent="0.25">
      <c r="A8" t="s">
        <v>95</v>
      </c>
      <c r="B8" s="18">
        <v>919000000</v>
      </c>
      <c r="C8" s="18">
        <v>808000000</v>
      </c>
      <c r="D8" s="18">
        <v>757000000</v>
      </c>
      <c r="E8" s="18">
        <v>598000000</v>
      </c>
      <c r="F8" s="6" t="s">
        <v>96</v>
      </c>
    </row>
    <row r="9" spans="1:6" x14ac:dyDescent="0.25">
      <c r="A9" t="s">
        <v>97</v>
      </c>
      <c r="B9" s="18">
        <v>718000000</v>
      </c>
      <c r="C9" s="18">
        <v>219000000</v>
      </c>
      <c r="D9" s="18">
        <v>149000000</v>
      </c>
      <c r="E9" s="18">
        <v>688000000</v>
      </c>
      <c r="F9" s="6" t="s">
        <v>98</v>
      </c>
    </row>
    <row r="10" spans="1:6" x14ac:dyDescent="0.25">
      <c r="A10" t="s">
        <v>99</v>
      </c>
      <c r="B10" s="18">
        <v>10532000000</v>
      </c>
      <c r="C10" s="18">
        <v>9821000000</v>
      </c>
      <c r="D10" s="18">
        <v>9802000000</v>
      </c>
      <c r="E10" s="18">
        <v>9114000000</v>
      </c>
      <c r="F10" s="6" t="s">
        <v>100</v>
      </c>
    </row>
    <row r="11" spans="1:6" x14ac:dyDescent="0.25">
      <c r="A11" t="s">
        <v>101</v>
      </c>
      <c r="B11" s="18">
        <v>803000000</v>
      </c>
      <c r="C11" s="18">
        <v>2080000000</v>
      </c>
      <c r="D11" s="18">
        <v>2609000000</v>
      </c>
      <c r="E11" s="18">
        <v>555000000</v>
      </c>
      <c r="F11" s="6" t="s">
        <v>102</v>
      </c>
    </row>
    <row r="12" spans="1:6" x14ac:dyDescent="0.25">
      <c r="A12" t="s">
        <v>34</v>
      </c>
      <c r="B12" s="34">
        <v>391200000</v>
      </c>
      <c r="C12" s="34">
        <v>399400000</v>
      </c>
      <c r="D12" s="34">
        <v>401100000</v>
      </c>
      <c r="E12" s="34">
        <v>400800000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