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<sst xmlns="http://schemas.openxmlformats.org/spreadsheetml/2006/main" count="112" uniqueCount="100">
  <si>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Eaton Corporation plc (ETN)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</si>
  <si>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</si>
  <si>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</si>
  <si>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</si>
  <si>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</si>
  <si>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</si>
  <si>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</si>
  <si>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</si>
  <si>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</si>
  <si>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</si>
  <si>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</si>
  <si>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</si>
  <si>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</si>
  <si>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</si>
  <si>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</si>
  <si>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</si>
  <si>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</si>
  <si>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</si>
  <si>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</si>
  <si>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</si>
  <si>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</si>
  <si>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</si>
  <si>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</si>
  <si>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</si>
  <si>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</si>
  <si>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</si>
  <si>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</si>
  <si>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</si>
  <si>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</si>
  <si>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</si>
  <si>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</si>
  <si>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</si>
  <si>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</si>
  <si>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</si>
  <si>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</si>
  <si>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</si>
  <si>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</si>
  <si>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</si>
  <si>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</si>
  <si>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</si>
  <si>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</si>
  <si>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</si>
  <si>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</si>
  <si>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</si>
  <si>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</si>
  <si>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</si>
  <si>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</si>
  <si>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</si>
  <si>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</si>
  <si>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</si>
  <si>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</si>
  <si>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</si>
  <si>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</si>
  <si>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</si>
  <si>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</si>
  <si>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</si>
  <si>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</si>
  <si>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</si>
  <si>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</si>
  <si>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</si>
  <si>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</si>
  <si>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</si>
  <si>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</si>
  <si>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</si>
  <si>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</si>
  <si>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</si>
  <si>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</si>
  <si>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</si>
  <si>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</si>
  <si>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</si>
  <si>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</si>
  <si>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</si>
  <si>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</si>
  <si>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</si>
  <si>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</si>
  <si>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</si>
  <si>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</si>
  <si>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</si>
  <si>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</si>
  <si>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</si>
  <si>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</si>
  <si>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</si>
  <si>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</si>
  <si>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</si>
  <si>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</si>
  <si>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</si>
  <si>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</si>
  <si>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</si>
  <si>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</si>
  <si>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</si>
  <si>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</si>
  <si>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</si>
  <si>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</si>
  <si>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</si>
  <si>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</si>
  <si>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</si>
  <si>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</si>
  <si>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</si>
  <si>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28.1x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</si>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</sst>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0.09769979247934413</v>
      </c>
    </row>
    <row r="7" spans="1:2" x14ac:dyDescent="0.25">
      <c r="A7" t="s">
        <v>5</v>
      </c>
      <c r="B7" s="6">
        <v>0.17194371135468017</v>
      </c>
    </row>
    <row r="8" spans="1:2" x14ac:dyDescent="0.25">
      <c r="A8" t="s">
        <v>6</v>
      </c>
      <c r="B8" s="6">
        <v>0.16301285526759002</v>
      </c>
    </row>
    <row r="9" spans="1:2" x14ac:dyDescent="0.25">
      <c r="A9" t="s">
        <v>7</v>
      </c>
      <c r="B9" s="6">
        <v>0.03989098288860418</v>
      </c>
    </row>
    <row r="10" spans="1:2" x14ac:dyDescent="0.25">
      <c r="A10" t="s">
        <v>8</v>
      </c>
      <c r="B10" s="6">
        <v>0.03185285600119635</v>
      </c>
    </row>
    <row r="11" spans="1:2" x14ac:dyDescent="0.25">
      <c r="A11" t="s">
        <v>9</v>
      </c>
      <c r="B11" s="6">
        <v>0.13020214030915578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0.12757279161248736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1.11256</v>
      </c>
      <c r="C19" s="8" t="s">
        <v>19</v>
      </c>
    </row>
    <row r="20" spans="1:2" x14ac:dyDescent="0.25">
      <c r="A20" t="s">
        <v>20</v>
      </c>
      <c r="B20" s="10">
        <f>B17+B19*B18</f>
        <v>0.1111708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164980670464</v>
      </c>
    </row>
    <row r="23" spans="1:2" x14ac:dyDescent="0.25">
      <c r="A23" t="s">
        <v>24</v>
      </c>
      <c r="B23" s="11">
        <v>10532000000</v>
      </c>
    </row>
    <row r="24" spans="1:2" x14ac:dyDescent="0.25">
      <c r="A24" t="s">
        <v>25</v>
      </c>
      <c r="B24" s="10">
        <f>B22/(B22+B23)</f>
        <v>0.939992936281143</v>
      </c>
    </row>
    <row r="25" spans="1:2" x14ac:dyDescent="0.25">
      <c r="A25" t="s">
        <v>26</v>
      </c>
      <c r="B25" s="10">
        <f>1-B24</f>
        <v>0.060007063718857</v>
      </c>
    </row>
    <row r="26" spans="1:2" x14ac:dyDescent="0.25">
      <c r="A26" t="s">
        <v>27</v>
      </c>
      <c r="B26" s="12">
        <f>B24*B20+B25*B21*(1-B8)</f>
        <v>0.10701001926419627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27448000000</v>
      </c>
      <c r="C29" s="8" t="s">
        <v>30</v>
      </c>
    </row>
    <row r="30" spans="1:2" x14ac:dyDescent="0.25">
      <c r="A30" t="s">
        <v>31</v>
      </c>
      <c r="B30" s="11">
        <v>9729000000</v>
      </c>
    </row>
    <row r="31" spans="1:2" x14ac:dyDescent="0.25">
      <c r="A31" t="s">
        <v>32</v>
      </c>
      <c r="B31" s="13">
        <v>391200000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0.09769979247934413</v>
      </c>
      <c r="C5" s="10">
        <f>Assumptions!B6</f>
        <v>0.09769979247934413</v>
      </c>
      <c r="D5" s="10">
        <f>Assumptions!B6</f>
        <v>0.09769979247934413</v>
      </c>
      <c r="E5" s="10">
        <f>Assumptions!B6</f>
        <v>0.09769979247934413</v>
      </c>
      <c r="F5" s="10">
        <f>Assumptions!B6</f>
        <v>0.09769979247934413</v>
      </c>
    </row>
    <row r="6" spans="1:6" x14ac:dyDescent="0.25">
      <c r="A6" t="s">
        <v>43</v>
      </c>
      <c r="B6" s="18">
        <f>Assumptions!B29*(1+B5)</f>
        <v>30129663903.973038</v>
      </c>
      <c r="C6" s="18">
        <f>B6*(1+C5)</f>
        <v>33073325814.86359</v>
      </c>
      <c r="D6" s="18">
        <f>C6*(1+D5)</f>
        <v>36304582883.5775</v>
      </c>
      <c r="E6" s="18">
        <f>D6*(1+E5)</f>
        <v>39851533097.35217</v>
      </c>
      <c r="F6" s="18">
        <f>E6*(1+F5)</f>
        <v>43745019610.9472</v>
      </c>
    </row>
    <row r="7" spans="1:6" x14ac:dyDescent="0.25">
      <c r="A7" t="s">
        <v>5</v>
      </c>
      <c r="B7" s="10">
        <f>Assumptions!B7</f>
        <v>0.17194371135468017</v>
      </c>
      <c r="C7" s="10">
        <f>Assumptions!B7</f>
        <v>0.17194371135468017</v>
      </c>
      <c r="D7" s="10">
        <f>Assumptions!B7</f>
        <v>0.17194371135468017</v>
      </c>
      <c r="E7" s="10">
        <f>Assumptions!B7</f>
        <v>0.17194371135468017</v>
      </c>
      <c r="F7" s="10">
        <f>Assumptions!B7</f>
        <v>0.17194371135468017</v>
      </c>
    </row>
    <row r="8" spans="1:6" x14ac:dyDescent="0.25">
      <c r="A8" t="s">
        <v>44</v>
      </c>
      <c r="B8" s="18">
        <f>B6*B7</f>
        <v>5180606233.518266</v>
      </c>
      <c r="C8" s="18">
        <f>C6*C7</f>
        <v>5686750387.450197</v>
      </c>
      <c r="D8" s="18">
        <f>D6*D7</f>
        <v>6242344720.185912</v>
      </c>
      <c r="E8" s="18">
        <f>E6*E7</f>
        <v>6852220503.932606</v>
      </c>
      <c r="F8" s="18">
        <f>F6*F7</f>
        <v>7521681025.189528</v>
      </c>
    </row>
    <row r="9" spans="1:6" x14ac:dyDescent="0.25">
      <c r="A9" t="s">
        <v>45</v>
      </c>
      <c r="B9" s="18">
        <f>B8*(1-Assumptions!B8)</f>
        <v>4336100819.375378</v>
      </c>
      <c r="C9" s="18">
        <f>C8*(1-Assumptions!B8)</f>
        <v>4759736969.597867</v>
      </c>
      <c r="D9" s="18">
        <f>D8*(1-Assumptions!B8)</f>
        <v>5224762283.783841</v>
      </c>
      <c r="E9" s="18">
        <f>E8*(1-Assumptions!B8)</f>
        <v>5735220474.663427</v>
      </c>
      <c r="F9" s="18">
        <f>F8*(1-Assumptions!B8)</f>
        <v>6295550324.86133</v>
      </c>
    </row>
    <row r="10" spans="1:6" x14ac:dyDescent="0.25">
      <c r="A10" t="s">
        <v>46</v>
      </c>
      <c r="B10" s="18">
        <f>B6*Assumptions!B9</f>
        <v>1201901907.2327836</v>
      </c>
      <c r="C10" s="18">
        <f>C6*Assumptions!B9</f>
        <v>1319327474.1499543</v>
      </c>
      <c r="D10" s="18">
        <f>D6*Assumptions!B9</f>
        <v>1448225494.5867023</v>
      </c>
      <c r="E10" s="18">
        <f>E6*Assumptions!B9</f>
        <v>1589716824.8711188</v>
      </c>
      <c r="F10" s="18">
        <f>F6*Assumptions!B9</f>
        <v>1745031828.761949</v>
      </c>
    </row>
    <row r="11" spans="1:6" x14ac:dyDescent="0.25">
      <c r="A11" t="s">
        <v>47</v>
      </c>
      <c r="B11" s="18">
        <f>-B6*Assumptions!B10</f>
        <v>-959715845.6976966</v>
      </c>
      <c r="C11" s="18">
        <f>-C6*Assumptions!B10</f>
        <v>-1053479884.6614997</v>
      </c>
      <c r="D11" s="18">
        <f>-D6*Assumptions!B10</f>
        <v>-1156404650.7740917</v>
      </c>
      <c r="E11" s="18">
        <f>-E6*Assumptions!B10</f>
        <v>-1269385145.176869</v>
      </c>
      <c r="F11" s="18">
        <f>-F6*Assumptions!B10</f>
        <v>-1393403810.4370112</v>
      </c>
    </row>
    <row r="12" spans="1:6" x14ac:dyDescent="0.25">
      <c r="A12" t="s">
        <v>48</v>
      </c>
      <c r="B12" s="18">
        <f>-(B6-Assumptions!B29)*Assumptions!B11</f>
        <v>-349158379.8870959</v>
      </c>
      <c r="C12" s="18">
        <f>-(C6-B6)*Assumptions!B11</f>
        <v>-383271081.14448935</v>
      </c>
      <c r="D12" s="18">
        <f>-(D6-C6)*Assumptions!B11</f>
        <v>-420716586.2356398</v>
      </c>
      <c r="E12" s="18">
        <f>-(E6-D6)*Assumptions!B11</f>
        <v>-461820509.4034801</v>
      </c>
      <c r="F12" s="18">
        <f>-(F6-E6)*Assumptions!B11</f>
        <v>-506940277.3349051</v>
      </c>
    </row>
    <row r="13" spans="1:6" x14ac:dyDescent="0.25">
      <c r="A13" s="19" t="s">
        <v>49</v>
      </c>
      <c r="B13" s="20">
        <f>B9+B10+B11+B12</f>
        <v>4229128501.0233684</v>
      </c>
      <c r="C13" s="20">
        <f>C9+C10+C11+C12</f>
        <v>4642313477.941833</v>
      </c>
      <c r="D13" s="20">
        <f>D9+D10+D11+D12</f>
        <v>5095866541.360812</v>
      </c>
      <c r="E13" s="20">
        <f>E9+E10+E11+E12</f>
        <v>5593731644.954197</v>
      </c>
      <c r="F13" s="20">
        <f>F9+F10+F11+F12</f>
        <v>6140238065.851363</v>
      </c>
    </row>
    <row r="14" spans="1:6" x14ac:dyDescent="0.25">
      <c r="A14" t="s">
        <v>50</v>
      </c>
      <c r="B14" s="21">
        <f>1/(1+Assumptions!$B$26)^(1-0.5*Assumptions!$B$32)</f>
        <v>0.9504389464013832</v>
      </c>
      <c r="C14" s="21">
        <f>1/(1+Assumptions!$B$26)^(2-0.5*Assumptions!$B$32)</f>
        <v>0.8585639965870568</v>
      </c>
      <c r="D14" s="21">
        <f>1/(1+Assumptions!$B$26)^(3-0.5*Assumptions!$B$32)</f>
        <v>0.7755702131383818</v>
      </c>
      <c r="E14" s="21">
        <f>1/(1+Assumptions!$B$26)^(4-0.5*Assumptions!$B$32)</f>
        <v>0.7005990909223073</v>
      </c>
      <c r="F14" s="21">
        <f>1/(1+Assumptions!$B$26)^(5-0.5*Assumptions!$B$32)</f>
        <v>0.6328751128991399</v>
      </c>
    </row>
    <row r="15" spans="1:6" x14ac:dyDescent="0.25">
      <c r="A15" s="19" t="s">
        <v>51</v>
      </c>
      <c r="B15" s="20">
        <f>B13*B14</f>
        <v>4019528436.708711</v>
      </c>
      <c r="C15" s="20">
        <f>C13*C14</f>
        <v>3985723213.0316997</v>
      </c>
      <c r="D15" s="20">
        <f>D13*D14</f>
        <v>3952202299.6079535</v>
      </c>
      <c r="E15" s="20">
        <f>E13*E14</f>
        <v>3918963305.318253</v>
      </c>
      <c r="F15" s="20">
        <f>F13*F14</f>
        <v>3886003859.153278</v>
      </c>
    </row>
    <row r="17" spans="1:2" x14ac:dyDescent="0.25">
      <c r="A17" s="22" t="s">
        <v>52</v>
      </c>
      <c r="B17" s="23">
        <f>SUM(B15:F15)</f>
        <v>19762421113.819893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6140238065.851363</v>
      </c>
    </row>
    <row r="5" spans="1:2" x14ac:dyDescent="0.25">
      <c r="A5" t="s">
        <v>56</v>
      </c>
      <c r="B5" s="18">
        <f>IF(Assumptions!$B$33=0,B4,B4-Forecast!F11-Forecast!F10-Forecast!F12)</f>
        <v>6295550324.86133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0.19596655120583642</v>
      </c>
    </row>
    <row r="7" spans="1:2" x14ac:dyDescent="0.25">
      <c r="A7" t="s">
        <v>58</v>
      </c>
      <c r="B7" s="18">
        <f>-MAX(Forecast!F9,0)*B6</f>
        <v>-1233717285.1058578</v>
      </c>
    </row>
    <row r="8" spans="1:2" x14ac:dyDescent="0.25">
      <c r="A8" t="s">
        <v>59</v>
      </c>
      <c r="B8" s="18">
        <f>IF(OR(Assumptions!$B$33=0,Assumptions!B12&lt;=0),B5,MAX(B5+B7,0))</f>
        <v>5061833039.755472</v>
      </c>
    </row>
    <row r="9" spans="1:2" x14ac:dyDescent="0.25">
      <c r="A9" t="s">
        <v>60</v>
      </c>
      <c r="B9" s="18">
        <f>B8*(1+Assumptions!B12)/(Assumptions!B26-Assumptions!B12)</f>
        <v>63265182867.89975</v>
      </c>
    </row>
    <row r="10" spans="1:2" x14ac:dyDescent="0.25">
      <c r="A10" t="s">
        <v>61</v>
      </c>
      <c r="B10" s="18">
        <f>B9/(1+Assumptions!B26)^(5-0.5*Assumptions!B32)</f>
        <v>40038959750.10679</v>
      </c>
    </row>
    <row r="11" spans="1:2" x14ac:dyDescent="0.25">
      <c r="A11" t="s">
        <v>62</v>
      </c>
      <c r="B11" s="18">
        <f>Forecast!B17+B10</f>
        <v>59801380863.92668</v>
      </c>
    </row>
    <row r="12" spans="1:2" x14ac:dyDescent="0.25">
      <c r="A12" t="s">
        <v>63</v>
      </c>
      <c r="B12" s="18">
        <f>-Assumptions!B30</f>
        <v>-9729000000</v>
      </c>
    </row>
    <row r="13" spans="1:2" x14ac:dyDescent="0.25">
      <c r="A13" t="s">
        <v>64</v>
      </c>
      <c r="B13" s="18">
        <f>B11+B12</f>
        <v>50072380863.92668</v>
      </c>
    </row>
    <row r="14" spans="1:2" x14ac:dyDescent="0.25">
      <c r="A14" s="19" t="s">
        <v>65</v>
      </c>
      <c r="B14" s="24">
        <f>B13/Assumptions!B31</f>
        <v>127.99688359899459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9266712853.951477</v>
      </c>
    </row>
    <row r="18" spans="1:2" x14ac:dyDescent="0.25">
      <c r="A18" t="s">
        <v>60</v>
      </c>
      <c r="B18" s="18">
        <f>B17*Assumptions!B13</f>
        <v>185334257079.02954</v>
      </c>
    </row>
    <row r="19" spans="1:2" x14ac:dyDescent="0.25">
      <c r="A19" t="s">
        <v>61</v>
      </c>
      <c r="B19" s="18">
        <f>B18/(1+Assumptions!B26)^(5-0.5*Assumptions!B32)</f>
        <v>117293438872.96904</v>
      </c>
    </row>
    <row r="20" spans="1:2" x14ac:dyDescent="0.25">
      <c r="A20" t="s">
        <v>62</v>
      </c>
      <c r="B20" s="18">
        <f>Forecast!B17+B19</f>
        <v>137055859986.78894</v>
      </c>
    </row>
    <row r="21" spans="1:2" x14ac:dyDescent="0.25">
      <c r="A21" t="s">
        <v>63</v>
      </c>
      <c r="B21" s="18">
        <f>-Assumptions!B30</f>
        <v>-9729000000</v>
      </c>
    </row>
    <row r="22" spans="1:2" x14ac:dyDescent="0.25">
      <c r="A22" t="s">
        <v>64</v>
      </c>
      <c r="B22" s="18">
        <f>B20+B21</f>
        <v>127326859986.78894</v>
      </c>
    </row>
    <row r="23" spans="1:2" x14ac:dyDescent="0.25">
      <c r="A23" s="19" t="s">
        <v>65</v>
      </c>
      <c r="B23" s="25">
        <f>B22/Assumptions!B31</f>
        <v>325.47765845293696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424.77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127.99688359899459</v>
      </c>
    </row>
    <row r="29" spans="1:2" x14ac:dyDescent="0.25">
      <c r="A29" s="19" t="s">
        <v>73</v>
      </c>
      <c r="B29" s="12">
        <f>B28/B26-1</f>
        <v>-0.6986677882171655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0.08701</v>
      </c>
      <c r="B5" s="31">
        <v>165.51439663052113</v>
      </c>
      <c r="C5" s="31">
        <v>169.90706222278055</v>
      </c>
      <c r="D5" s="31">
        <v>174.9382310283948</v>
      </c>
      <c r="E5" s="31">
        <v>180.77590073549447</v>
      </c>
      <c r="F5" s="31">
        <v>187.65267110416946</v>
      </c>
    </row>
    <row r="6" spans="1:6" x14ac:dyDescent="0.25">
      <c r="A6" s="30">
        <v>0.09701</v>
      </c>
      <c r="B6" s="31">
        <v>142.67082625207044</v>
      </c>
      <c r="C6" s="31">
        <v>145.2940799128954</v>
      </c>
      <c r="D6" s="31">
        <v>148.2238798326637</v>
      </c>
      <c r="E6" s="31">
        <v>151.52884552912133</v>
      </c>
      <c r="F6" s="31">
        <v>155.29972827868076</v>
      </c>
    </row>
    <row r="7" spans="1:6" x14ac:dyDescent="0.25">
      <c r="A7" s="30">
        <v>0.10701</v>
      </c>
      <c r="B7" s="31">
        <v>124.79017612006295</v>
      </c>
      <c r="C7" s="31">
        <v>126.32434835476133</v>
      </c>
      <c r="D7" s="32">
        <v>127.99691783862487</v>
      </c>
      <c r="E7" s="31">
        <v>129.8348415738284</v>
      </c>
      <c r="F7" s="31">
        <v>131.87256357884297</v>
      </c>
    </row>
    <row r="8" spans="1:6" x14ac:dyDescent="0.25">
      <c r="A8" s="30">
        <v>0.11701</v>
      </c>
      <c r="B8" s="31">
        <v>110.41322250412752</v>
      </c>
      <c r="C8" s="31">
        <v>111.2536206789498</v>
      </c>
      <c r="D8" s="31">
        <v>112.143693126124</v>
      </c>
      <c r="E8" s="31">
        <v>113.0920033910505</v>
      </c>
      <c r="F8" s="31">
        <v>114.10920343405462</v>
      </c>
    </row>
    <row r="9" spans="1:6" x14ac:dyDescent="0.25">
      <c r="A9" s="30">
        <v>0.12701</v>
      </c>
      <c r="B9" s="31">
        <v>98.60181868778326</v>
      </c>
      <c r="C9" s="31">
        <v>98.9895812923947</v>
      </c>
      <c r="D9" s="31">
        <v>99.37925429262302</v>
      </c>
      <c r="E9" s="31">
        <v>99.77113308001809</v>
      </c>
      <c r="F9" s="31">
        <v>100.16557725470494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27448000000</v>
      </c>
      <c r="C5" s="18">
        <v>24878000000</v>
      </c>
      <c r="D5" s="18">
        <v>23196000000</v>
      </c>
      <c r="E5" s="18">
        <v>20752000000</v>
      </c>
      <c r="F5" s="8" t="s">
        <v>84</v>
      </c>
    </row>
    <row r="6" spans="1:6" x14ac:dyDescent="0.25">
      <c r="A6" t="s">
        <v>44</v>
      </c>
      <c r="B6" s="18">
        <v>5209000000</v>
      </c>
      <c r="C6" s="18">
        <v>4632000000</v>
      </c>
      <c r="D6" s="18">
        <v>3885000000</v>
      </c>
      <c r="E6" s="18">
        <v>2995000000</v>
      </c>
      <c r="F6" s="8" t="s">
        <v>85</v>
      </c>
    </row>
    <row r="7" spans="1:6" x14ac:dyDescent="0.25">
      <c r="A7" t="s">
        <v>86</v>
      </c>
      <c r="B7" s="18">
        <v>1006000000</v>
      </c>
      <c r="C7" s="18">
        <v>921000000</v>
      </c>
      <c r="D7" s="18">
        <v>926000000</v>
      </c>
      <c r="E7" s="18">
        <v>954000000</v>
      </c>
      <c r="F7" s="8" t="s">
        <v>87</v>
      </c>
    </row>
    <row r="8" spans="1:6" x14ac:dyDescent="0.25">
      <c r="A8" t="s">
        <v>88</v>
      </c>
      <c r="B8" s="18">
        <v>919000000</v>
      </c>
      <c r="C8" s="18">
        <v>808000000</v>
      </c>
      <c r="D8" s="18">
        <v>757000000</v>
      </c>
      <c r="E8" s="18">
        <v>598000000</v>
      </c>
      <c r="F8" s="8" t="s">
        <v>89</v>
      </c>
    </row>
    <row r="9" spans="1:6" x14ac:dyDescent="0.25">
      <c r="A9" t="s">
        <v>90</v>
      </c>
      <c r="B9" s="18">
        <v>718000000</v>
      </c>
      <c r="C9" s="18">
        <v>219000000</v>
      </c>
      <c r="D9" s="18">
        <v>149000000</v>
      </c>
      <c r="E9" s="18">
        <v>688000000</v>
      </c>
      <c r="F9" s="8" t="s">
        <v>91</v>
      </c>
    </row>
    <row r="10" spans="1:6" x14ac:dyDescent="0.25">
      <c r="A10" t="s">
        <v>92</v>
      </c>
      <c r="B10" s="18">
        <v>10532000000</v>
      </c>
      <c r="C10" s="18">
        <v>9821000000</v>
      </c>
      <c r="D10" s="18">
        <v>9802000000</v>
      </c>
      <c r="E10" s="18">
        <v>9114000000</v>
      </c>
      <c r="F10" s="8" t="s">
        <v>93</v>
      </c>
    </row>
    <row r="11" spans="1:6" x14ac:dyDescent="0.25">
      <c r="A11" t="s">
        <v>94</v>
      </c>
      <c r="B11" s="18">
        <v>803000000</v>
      </c>
      <c r="C11" s="18">
        <v>2080000000</v>
      </c>
      <c r="D11" s="18">
        <v>2609000000</v>
      </c>
      <c r="E11" s="18">
        <v>555000000</v>
      </c>
      <c r="F11" s="8" t="s">
        <v>95</v>
      </c>
    </row>
    <row r="12" spans="1:6" x14ac:dyDescent="0.25">
      <c r="A12" t="s">
        <v>32</v>
      </c>
      <c r="B12" s="34">
        <v>391200000</v>
      </c>
      <c r="C12" s="34">
        <v>399400000</v>
      </c>
      <c r="D12" s="34">
        <v>401100000</v>
      </c>
      <c r="E12" s="34">
        <v>400800000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2026-09-19T00:07:53Z</dcterms:modified>
</cp:coreProperties>
</file>