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<sst xmlns="http://schemas.openxmlformats.org/spreadsheetml/2006/main" count="122" uniqueCount="109">
  <si>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Entergy Corporation (ETR)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</si>
  <si>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</si>
  <si>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</si>
  <si>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</si>
  <si>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</si>
  <si>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</si>
  <si>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</si>
  <si>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</si>
  <si>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</si>
  <si>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</si>
  <si>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</si>
  <si>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</si>
  <si>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</si>
  <si>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</si>
  <si>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</si>
  <si>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</si>
  <si>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</si>
  <si>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</si>
  <si>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</si>
  <si>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</si>
  <si>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</si>
  <si>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</si>
  <si>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</si>
  <si>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</si>
  <si>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</si>
  <si>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</si>
  <si>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</si>
  <si>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</si>
  <si>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</si>
  <si>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</si>
  <si>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</si>
  <si>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</si>
  <si>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</si>
  <si>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</si>
  <si>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</si>
  <si>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</si>
  <si>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</si>
  <si>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</si>
  <si>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</si>
  <si>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</si>
  <si>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</si>
  <si>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</si>
  <si>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</si>
  <si>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</si>
  <si>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</si>
  <si>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</si>
  <si>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</si>
  <si>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</si>
  <si>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</si>
  <si>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</si>
  <si>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</si>
  <si>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</si>
  <si>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</si>
  <si>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</si>
  <si>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</si>
  <si>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</si>
  <si>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</si>
  <si>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</si>
  <si>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</si>
  <si>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</si>
  <si>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</si>
  <si>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</si>
  <si>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</si>
  <si>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</si>
  <si>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</si>
  <si>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</si>
  <si>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</si>
  <si>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</si>
  <si>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</si>
  <si>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</si>
  <si>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</si>
  <si>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</si>
  <si>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</si>
  <si>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</si>
  <si>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</si>
  <si>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</si>
  <si>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</si>
  <si>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</si>
  <si>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</si>
  <si>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</si>
  <si>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</si>
  <si>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</si>
  <si>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</si>
  <si>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</si>
  <si>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</si>
  <si>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</si>
  <si>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</si>
  <si>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</si>
  <si>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</si>
  <si>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</si>
  <si>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</si>
  <si>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</si>
  <si>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</si>
  <si>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</si>
  <si>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</si>
  <si>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</si>
  <si>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</si>
  <si>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</si>
  <si>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</si>
  <si>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</si>
  <si>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</si>
  <si>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</si>
  <si>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</si>
  <si>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</si>
  <si>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</si>
  <si>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1 analyst estimate(s).</t>
  </si>
  <si>
    <t>Adjusted: Free cashflow is negative in at least one forecast year, so terminal value carries most of the valuation.</t>
  </si>
  <si>
    <t>Adjusted: Capital expenditure runs at 47.5% of revenue against depreciation of 18.6%.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</si>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</sst>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0.12190872629489902</v>
      </c>
    </row>
    <row r="7" spans="1:2" x14ac:dyDescent="0.25">
      <c r="A7" t="s">
        <v>4</v>
      </c>
      <c r="B7" s="5">
        <v>0.20916494635213828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0.1863915659033843</v>
      </c>
    </row>
    <row r="10" spans="1:3" x14ac:dyDescent="0.25">
      <c r="A10" t="s">
        <v>7</v>
      </c>
      <c r="B10" s="5">
        <v>0.4746541944622848</v>
      </c>
      <c r="C10" s="6" t="s">
        <v>8</v>
      </c>
    </row>
    <row r="11" spans="1:2" x14ac:dyDescent="0.25">
      <c r="A11" t="s">
        <v>9</v>
      </c>
      <c r="B11" s="5">
        <v>0.0336855347588948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14.168365747362188</v>
      </c>
    </row>
    <row r="14" spans="1:3" x14ac:dyDescent="0.25">
      <c r="A14" t="s">
        <v>12</v>
      </c>
      <c r="B14" s="5">
        <v>0.0655690256790791</v>
      </c>
      <c r="C14" s="6" t="s">
        <v>13</v>
      </c>
    </row>
    <row r="15" spans="1:3" x14ac:dyDescent="0.25">
      <c r="A15" t="s">
        <v>14</v>
      </c>
      <c r="B15" s="5">
        <v>0.1863915659033843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0.61609</v>
      </c>
      <c r="C19" s="6" t="s">
        <v>21</v>
      </c>
    </row>
    <row r="20" spans="1:2" x14ac:dyDescent="0.25">
      <c r="A20" t="s">
        <v>22</v>
      </c>
      <c r="B20" s="9">
        <f>B17+B19*B18</f>
        <v>0.075000607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52493410304</v>
      </c>
    </row>
    <row r="23" spans="1:2" x14ac:dyDescent="0.25">
      <c r="A23" t="s">
        <v>26</v>
      </c>
      <c r="B23" s="10">
        <v>30934935000</v>
      </c>
    </row>
    <row r="24" spans="1:2" x14ac:dyDescent="0.25">
      <c r="A24" t="s">
        <v>27</v>
      </c>
      <c r="B24" s="9">
        <f>B22/(B22+B23)</f>
        <v>0.6292035412271707</v>
      </c>
    </row>
    <row r="25" spans="1:2" x14ac:dyDescent="0.25">
      <c r="A25" t="s">
        <v>28</v>
      </c>
      <c r="B25" s="9">
        <f>1-B24</f>
        <v>0.3707964587728293</v>
      </c>
    </row>
    <row r="26" spans="1:2" x14ac:dyDescent="0.25">
      <c r="A26" t="s">
        <v>29</v>
      </c>
      <c r="B26" s="11">
        <f>B24*B20+B25*B21*(1-B8)</f>
        <v>0.0655690256790791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12946686000</v>
      </c>
      <c r="C29" s="6" t="s">
        <v>32</v>
      </c>
    </row>
    <row r="30" spans="1:2" x14ac:dyDescent="0.25">
      <c r="A30" t="s">
        <v>33</v>
      </c>
      <c r="B30" s="10">
        <v>29006019000</v>
      </c>
    </row>
    <row r="31" spans="1:2" x14ac:dyDescent="0.25">
      <c r="A31" t="s">
        <v>34</v>
      </c>
      <c r="B31" s="12">
        <v>450151884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0.12190872629489902</v>
      </c>
      <c r="C5" s="5">
        <v>0.05378983752151467</v>
      </c>
      <c r="D5" s="5">
        <v>0.05019110783132534</v>
      </c>
      <c r="E5" s="5">
        <v>0.046592378141136</v>
      </c>
      <c r="F5" s="5">
        <v>0.04299364845094667</v>
      </c>
      <c r="G5" s="5">
        <v>0.03939491876075733</v>
      </c>
      <c r="H5" s="5">
        <v>0.035796189070568</v>
      </c>
      <c r="I5" s="5">
        <v>0.03219745938037867</v>
      </c>
      <c r="J5" s="5">
        <v>0.028598729690189336</v>
      </c>
      <c r="K5" s="5">
        <v>0.025</v>
      </c>
    </row>
    <row r="6" spans="1:11" x14ac:dyDescent="0.25">
      <c r="A6" t="s">
        <v>50</v>
      </c>
      <c r="B6" s="18">
        <f>Assumptions!B29*(1+B5)</f>
        <v>14525000000.000002</v>
      </c>
      <c r="C6" s="18">
        <f>B6*(1+C5)</f>
        <v>15306297390.000002</v>
      </c>
      <c r="D6" s="18">
        <f>C6*(1+D5)</f>
        <v>16074537412.799826</v>
      </c>
      <c r="E6" s="18">
        <f>D6*(1+E5)</f>
        <v>16823488338.380833</v>
      </c>
      <c r="F6" s="18">
        <f>E6*(1+F5)</f>
        <v>17546791481.71978</v>
      </c>
      <c r="G6" s="18">
        <f>F6*(1+G5)</f>
        <v>18238045906.65408</v>
      </c>
      <c r="H6" s="18">
        <f>G6*(1+H5)</f>
        <v>18890898446.206367</v>
      </c>
      <c r="I6" s="18">
        <f>H6*(1+I5)</f>
        <v>19499137381.586956</v>
      </c>
      <c r="J6" s="18">
        <f>I6*(1+J5)</f>
        <v>20056787940.754826</v>
      </c>
      <c r="K6" s="18">
        <f>J6*(1+K5)</f>
        <v>20558207639.273693</v>
      </c>
    </row>
    <row r="7" spans="1:11" x14ac:dyDescent="0.25">
      <c r="A7" t="s">
        <v>4</v>
      </c>
      <c r="B7" s="9">
        <f>Assumptions!B7</f>
        <v>0.20916494635213828</v>
      </c>
      <c r="C7" s="9">
        <f>Assumptions!B7</f>
        <v>0.20916494635213828</v>
      </c>
      <c r="D7" s="9">
        <f>Assumptions!B7</f>
        <v>0.20916494635213828</v>
      </c>
      <c r="E7" s="9">
        <f>Assumptions!B7</f>
        <v>0.20916494635213828</v>
      </c>
      <c r="F7" s="9">
        <f>Assumptions!B7</f>
        <v>0.20916494635213828</v>
      </c>
      <c r="G7" s="9">
        <f>Assumptions!B7</f>
        <v>0.20916494635213828</v>
      </c>
      <c r="H7" s="9">
        <f>Assumptions!B7</f>
        <v>0.20916494635213828</v>
      </c>
      <c r="I7" s="9">
        <f>Assumptions!B7</f>
        <v>0.20916494635213828</v>
      </c>
      <c r="J7" s="9">
        <f>Assumptions!B7</f>
        <v>0.20916494635213828</v>
      </c>
      <c r="K7" s="9">
        <f>Assumptions!B7</f>
        <v>0.20916494635213828</v>
      </c>
    </row>
    <row r="8" spans="1:11" x14ac:dyDescent="0.25">
      <c r="A8" t="s">
        <v>51</v>
      </c>
      <c r="B8" s="18">
        <f>B6*B7</f>
        <v>3038120845.764809</v>
      </c>
      <c r="C8" s="18">
        <f>C6*C7</f>
        <v>3201540872.4292245</v>
      </c>
      <c r="D8" s="18">
        <f>D6*D7</f>
        <v>3362229755.5837154</v>
      </c>
      <c r="E8" s="18">
        <f>E6*E7</f>
        <v>3518884035.753251</v>
      </c>
      <c r="F8" s="18">
        <f>F6*F7</f>
        <v>3670173698.926075</v>
      </c>
      <c r="G8" s="18">
        <f>G6*G7</f>
        <v>3814759893.633136</v>
      </c>
      <c r="H8" s="18">
        <f>H6*H7</f>
        <v>3951313760.0444474</v>
      </c>
      <c r="I8" s="18">
        <f>I6*I7</f>
        <v>4078536024.3326097</v>
      </c>
      <c r="J8" s="18">
        <f>J6*J7</f>
        <v>4195176973.624197</v>
      </c>
      <c r="K8" s="18">
        <f>K6*K7</f>
        <v>4300056397.964802</v>
      </c>
    </row>
    <row r="9" spans="1:11" x14ac:dyDescent="0.25">
      <c r="A9" t="s">
        <v>52</v>
      </c>
      <c r="B9" s="18">
        <f>B8*(1-Assumptions!B8)</f>
        <v>2400115468.154199</v>
      </c>
      <c r="C9" s="18">
        <f>C8*(1-Assumptions!B8)</f>
        <v>2529217289.2190876</v>
      </c>
      <c r="D9" s="18">
        <f>D8*(1-Assumptions!B8)</f>
        <v>2656161506.911135</v>
      </c>
      <c r="E9" s="18">
        <f>E8*(1-Assumptions!B8)</f>
        <v>2779918388.2450686</v>
      </c>
      <c r="F9" s="18">
        <f>F8*(1-Assumptions!B8)</f>
        <v>2899437222.1515994</v>
      </c>
      <c r="G9" s="18">
        <f>G8*(1-Assumptions!B8)</f>
        <v>3013660315.9701777</v>
      </c>
      <c r="H9" s="18">
        <f>H8*(1-Assumptions!B8)</f>
        <v>3121537870.4351134</v>
      </c>
      <c r="I9" s="18">
        <f>I8*(1-Assumptions!B8)</f>
        <v>3222043459.2227616</v>
      </c>
      <c r="J9" s="18">
        <f>J8*(1-Assumptions!B8)</f>
        <v>3314189809.163116</v>
      </c>
      <c r="K9" s="18">
        <f>K8*(1-Assumptions!B8)</f>
        <v>3397044554.392194</v>
      </c>
    </row>
    <row r="10" spans="1:11" x14ac:dyDescent="0.25">
      <c r="A10" t="s">
        <v>53</v>
      </c>
      <c r="B10" s="18">
        <f>B6*Assumptions!B9</f>
        <v>2707337494.7466574</v>
      </c>
      <c r="C10" s="18">
        <f>C6*Assumptions!B9</f>
        <v>2852964738.704984</v>
      </c>
      <c r="D10" s="18">
        <f>D6*Assumptions!B9</f>
        <v>2996158199.5442953</v>
      </c>
      <c r="E10" s="18">
        <f>E6*Assumptions!B9</f>
        <v>3135756335.3481283</v>
      </c>
      <c r="F10" s="18">
        <f>F6*Assumptions!B9</f>
        <v>3270573940.8579144</v>
      </c>
      <c r="G10" s="18">
        <f>G6*Assumptions!B9</f>
        <v>3399417935.559062</v>
      </c>
      <c r="H10" s="18">
        <f>H6*Assumptions!B9</f>
        <v>3521104142.710214</v>
      </c>
      <c r="I10" s="18">
        <f>I6*Assumptions!B9</f>
        <v>3634474750.3192096</v>
      </c>
      <c r="J10" s="18">
        <f>J6*Assumptions!B9</f>
        <v>3738416111.2694063</v>
      </c>
      <c r="K10" s="18">
        <f>K6*Assumptions!B9</f>
        <v>3831876514.051141</v>
      </c>
    </row>
    <row r="11" spans="1:11" x14ac:dyDescent="0.25">
      <c r="A11" t="s">
        <v>54</v>
      </c>
      <c r="B11" s="18">
        <f>-B6*B19</f>
        <v>-6894352174.564688</v>
      </c>
      <c r="C11" s="18">
        <f>-C6*C19</f>
        <v>-6882098296.74165</v>
      </c>
      <c r="D11" s="18">
        <f>-D6*D19</f>
        <v>-6825190261.892018</v>
      </c>
      <c r="E11" s="18">
        <f>-E6*E19</f>
        <v>-6722118508.539038</v>
      </c>
      <c r="F11" s="18">
        <f>-F6*F19</f>
        <v>-6571949819.336561</v>
      </c>
      <c r="G11" s="18">
        <f>-G6*G19</f>
        <v>-6374372813.614108</v>
      </c>
      <c r="H11" s="18">
        <f>-H6*H19</f>
        <v>-6129732444.737251</v>
      </c>
      <c r="I11" s="18">
        <f>-I6*I19</f>
        <v>-5839052074.401382</v>
      </c>
      <c r="J11" s="18">
        <f>-J6*J19</f>
        <v>-5504041978.153309</v>
      </c>
      <c r="K11" s="18">
        <f>-K6*K19</f>
        <v>-5127093470.232052</v>
      </c>
    </row>
    <row r="12" spans="1:11" x14ac:dyDescent="0.25">
      <c r="A12" t="s">
        <v>55</v>
      </c>
      <c r="B12" s="18">
        <f>-(B6-Assumptions!B29)*Assumptions!B11</f>
        <v>-53166351.10745034</v>
      </c>
      <c r="C12" s="18">
        <f>-(C6-B6)*Assumptions!B11</f>
        <v>-26318420.387878783</v>
      </c>
      <c r="D12" s="18">
        <f>-(D6-C6)*Assumptions!B11</f>
        <v>-25878575.991197594</v>
      </c>
      <c r="E12" s="18">
        <f>-(E6-D6)*Assumptions!B11</f>
        <v>-25228812.43636544</v>
      </c>
      <c r="F12" s="18">
        <f>-(F6-E6)*Assumptions!B11</f>
        <v>-24364853.176161975</v>
      </c>
      <c r="G12" s="18">
        <f>-(G6-F6)*Assumptions!B11</f>
        <v>-23285274.958364177</v>
      </c>
      <c r="H12" s="18">
        <f>-(H6-G6)*Assumptions!B11</f>
        <v>-21991686.91352134</v>
      </c>
      <c r="I12" s="18">
        <f>-(I6-H6)*Assumptions!B11</f>
        <v>-20488853.799475983</v>
      </c>
      <c r="J12" s="18">
        <f>-(J6-I6)*Assumptions!B11</f>
        <v>-18784757.29416639</v>
      </c>
      <c r="K12" s="18">
        <f>-(K6-J6)*Assumptions!B11</f>
        <v>-16890590.68325186</v>
      </c>
    </row>
    <row r="13" spans="1:11" x14ac:dyDescent="0.25">
      <c r="A13" s="19" t="s">
        <v>56</v>
      </c>
      <c r="B13" s="20">
        <f>B9+B10+B11+B12</f>
        <v>-1840065562.771282</v>
      </c>
      <c r="C13" s="20">
        <f>C9+C10+C11+C12</f>
        <v>-1526234689.2054563</v>
      </c>
      <c r="D13" s="20">
        <f>D9+D10+D11+D12</f>
        <v>-1198749131.427785</v>
      </c>
      <c r="E13" s="20">
        <f>E9+E10+E11+E12</f>
        <v>-831672597.3822063</v>
      </c>
      <c r="F13" s="20">
        <f>F9+F10+F11+F12</f>
        <v>-426303509.50320935</v>
      </c>
      <c r="G13" s="20">
        <f>G9+G10+G11+G12</f>
        <v>15420162.956767391</v>
      </c>
      <c r="H13" s="20">
        <f>H9+H10+H11+H12</f>
        <v>490917881.49455494</v>
      </c>
      <c r="I13" s="20">
        <f>I9+I10+I11+I12</f>
        <v>996977281.3411127</v>
      </c>
      <c r="J13" s="20">
        <f>J9+J10+J11+J12</f>
        <v>1529779184.9850466</v>
      </c>
      <c r="K13" s="20">
        <f>K9+K10+K11+K12</f>
        <v>2084937007.5280309</v>
      </c>
    </row>
    <row r="14" spans="1:11" x14ac:dyDescent="0.25">
      <c r="A14" t="s">
        <v>57</v>
      </c>
      <c r="B14" s="21">
        <f>1/(1+Assumptions!$B$26)^(1-0.5*Assumptions!$B$32)</f>
        <v>0.9687444024532172</v>
      </c>
      <c r="C14" s="21">
        <f>1/(1+Assumptions!$B$26)^(2-0.5*Assumptions!$B$32)</f>
        <v>0.9091334105135459</v>
      </c>
      <c r="D14" s="21">
        <f>1/(1+Assumptions!$B$26)^(3-0.5*Assumptions!$B$32)</f>
        <v>0.8531905382048451</v>
      </c>
      <c r="E14" s="21">
        <f>1/(1+Assumptions!$B$26)^(4-0.5*Assumptions!$B$32)</f>
        <v>0.8006900704167084</v>
      </c>
      <c r="F14" s="21">
        <f>1/(1+Assumptions!$B$26)^(5-0.5*Assumptions!$B$32)</f>
        <v>0.751420181256146</v>
      </c>
      <c r="G14" s="21">
        <f>1/(1+Assumptions!$B$26)^(6-0.5*Assumptions!$B$32)</f>
        <v>0.7051820793845537</v>
      </c>
      <c r="H14" s="21">
        <f>1/(1+Assumptions!$B$26)^(7-0.5*Assumptions!$B$32)</f>
        <v>0.6617892059457589</v>
      </c>
      <c r="I14" s="21">
        <f>1/(1+Assumptions!$B$26)^(8-0.5*Assumptions!$B$32)</f>
        <v>0.6210664818489874</v>
      </c>
      <c r="J14" s="21">
        <f>1/(1+Assumptions!$B$26)^(9-0.5*Assumptions!$B$32)</f>
        <v>0.5828496013697342</v>
      </c>
      <c r="K14" s="21">
        <f>1/(1+Assumptions!$B$26)^(10-0.5*Assumptions!$B$32)</f>
        <v>0.5469843692183982</v>
      </c>
    </row>
    <row r="15" spans="1:11" x14ac:dyDescent="0.25">
      <c r="A15" s="19" t="s">
        <v>58</v>
      </c>
      <c r="B15" s="20">
        <f>B13*B14</f>
        <v>-1782553214.0816085</v>
      </c>
      <c r="C15" s="20">
        <f>C13*C14</f>
        <v>-1387550948.2414382</v>
      </c>
      <c r="D15" s="20">
        <f>D13*D14</f>
        <v>-1022761416.6154624</v>
      </c>
      <c r="E15" s="20">
        <f>E13*E14</f>
        <v>-665911990.5616056</v>
      </c>
      <c r="F15" s="20">
        <f>F13*F14</f>
        <v>-320333060.3810327</v>
      </c>
      <c r="G15" s="20">
        <f>G13*G14</f>
        <v>10874022.578301897</v>
      </c>
      <c r="H15" s="20">
        <f>H13*H14</f>
        <v>324884154.97885567</v>
      </c>
      <c r="I15" s="20">
        <f>I13*I14</f>
        <v>619189172.605893</v>
      </c>
      <c r="J15" s="20">
        <f>J13*J14</f>
        <v>891631188.1522512</v>
      </c>
      <c r="K15" s="20">
        <f>K13*K14</f>
        <v>1140427953.9228148</v>
      </c>
    </row>
    <row r="17" spans="1:2" x14ac:dyDescent="0.25">
      <c r="A17" s="22" t="s">
        <v>59</v>
      </c>
      <c r="B17" s="23">
        <f>SUM(B15:K15)</f>
        <v>-2192104137.6430306</v>
      </c>
    </row>
    <row r="19" spans="1:11" x14ac:dyDescent="0.25">
      <c r="A19" t="s">
        <v>7</v>
      </c>
      <c r="B19" s="9">
        <f>Assumptions!$B$10+($B$20-Assumptions!$B$10)*0/9</f>
        <v>0.4746541944622848</v>
      </c>
      <c r="C19" s="9">
        <f>Assumptions!$B$10+($B$20-Assumptions!$B$10)*1/9</f>
        <v>0.44962528307060734</v>
      </c>
      <c r="D19" s="9">
        <f>Assumptions!$B$10+($B$20-Assumptions!$B$10)*2/9</f>
        <v>0.4245963716789299</v>
      </c>
      <c r="E19" s="9">
        <f>Assumptions!$B$10+($B$20-Assumptions!$B$10)*3/9</f>
        <v>0.39956746028725243</v>
      </c>
      <c r="F19" s="9">
        <f>Assumptions!$B$10+($B$20-Assumptions!$B$10)*4/9</f>
        <v>0.3745385488955749</v>
      </c>
      <c r="G19" s="9">
        <f>Assumptions!$B$10+($B$20-Assumptions!$B$10)*5/9</f>
        <v>0.34950963750389746</v>
      </c>
      <c r="H19" s="9">
        <f>Assumptions!$B$10+($B$20-Assumptions!$B$10)*6/9</f>
        <v>0.32448072611222</v>
      </c>
      <c r="I19" s="9">
        <f>Assumptions!$B$10+($B$20-Assumptions!$B$10)*7/9</f>
        <v>0.29945181472054255</v>
      </c>
      <c r="J19" s="9">
        <f>Assumptions!$B$10+($B$20-Assumptions!$B$10)*8/9</f>
        <v>0.2744229033288651</v>
      </c>
      <c r="K19" s="9">
        <f>Assumptions!$B$10+($B$20-Assumptions!$B$10)*9/9</f>
        <v>0.24939399193718761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0.24939399193718761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2084937007.5280309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3397044554.392194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0.3812775886339984</v>
      </c>
    </row>
    <row r="7" spans="1:2" x14ac:dyDescent="0.25">
      <c r="A7" t="s">
        <v>66</v>
      </c>
      <c r="B7" s="18">
        <f>-MAX(B5,0)*B6</f>
        <v>-1295216956.1809113</v>
      </c>
    </row>
    <row r="8" spans="1:2" x14ac:dyDescent="0.25">
      <c r="A8" t="s">
        <v>67</v>
      </c>
      <c r="B8" s="18">
        <f>IF(OR(Assumptions!$B$33=0,Assumptions!B12&lt;=0),B5,MAX(B5+B7,0))</f>
        <v>2101827598.2112825</v>
      </c>
    </row>
    <row r="9" spans="1:2" x14ac:dyDescent="0.25">
      <c r="A9" t="s">
        <v>68</v>
      </c>
      <c r="B9" s="18">
        <f>B8*(1+Assumptions!B12)/(Assumptions!B26-Assumptions!B12)</f>
        <v>53103895203.417366</v>
      </c>
    </row>
    <row r="10" spans="1:2" x14ac:dyDescent="0.25">
      <c r="A10" t="s">
        <v>69</v>
      </c>
      <c r="B10" s="18">
        <f>B9/(1+Assumptions!B26)^(10-0.5*Assumptions!B32)</f>
        <v>29047000620.881172</v>
      </c>
    </row>
    <row r="11" spans="1:2" x14ac:dyDescent="0.25">
      <c r="A11" t="s">
        <v>70</v>
      </c>
      <c r="B11" s="18">
        <f>Forecast!B17+B10</f>
        <v>26854896483.23814</v>
      </c>
    </row>
    <row r="12" spans="1:2" x14ac:dyDescent="0.25">
      <c r="A12" t="s">
        <v>71</v>
      </c>
      <c r="B12" s="18">
        <f>-Assumptions!B30</f>
        <v>-29006019000</v>
      </c>
    </row>
    <row r="13" spans="1:2" x14ac:dyDescent="0.25">
      <c r="A13" t="s">
        <v>72</v>
      </c>
      <c r="B13" s="18">
        <f>B11+B12</f>
        <v>-2151122516.76186</v>
      </c>
    </row>
    <row r="14" spans="1:2" x14ac:dyDescent="0.25">
      <c r="A14" s="19" t="s">
        <v>73</v>
      </c>
      <c r="B14" s="24">
        <f>B13/Assumptions!B31</f>
        <v>-4.778659366361466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8131932912.015943</v>
      </c>
    </row>
    <row r="18" spans="1:2" x14ac:dyDescent="0.25">
      <c r="A18" t="s">
        <v>68</v>
      </c>
      <c r="B18" s="18">
        <f>B17*Assumptions!B13</f>
        <v>115216199730.45393</v>
      </c>
    </row>
    <row r="19" spans="1:2" x14ac:dyDescent="0.25">
      <c r="A19" t="s">
        <v>69</v>
      </c>
      <c r="B19" s="18">
        <f>B18/(1+Assumptions!B26)^(10-0.5*Assumptions!B32)</f>
        <v>63021460333.30333</v>
      </c>
    </row>
    <row r="20" spans="1:2" x14ac:dyDescent="0.25">
      <c r="A20" t="s">
        <v>70</v>
      </c>
      <c r="B20" s="18">
        <f>Forecast!B17+B19</f>
        <v>60829356195.6603</v>
      </c>
    </row>
    <row r="21" spans="1:2" x14ac:dyDescent="0.25">
      <c r="A21" t="s">
        <v>71</v>
      </c>
      <c r="B21" s="18">
        <f>-Assumptions!B30</f>
        <v>-29006019000</v>
      </c>
    </row>
    <row r="22" spans="1:2" x14ac:dyDescent="0.25">
      <c r="A22" t="s">
        <v>72</v>
      </c>
      <c r="B22" s="18">
        <f>B20+B21</f>
        <v>31823337195.6603</v>
      </c>
    </row>
    <row r="23" spans="1:2" x14ac:dyDescent="0.25">
      <c r="A23" s="19" t="s">
        <v>73</v>
      </c>
      <c r="B23" s="25">
        <f>B22/Assumptions!B31</f>
        <v>70.69466623771878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109.87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-4.778659366361466</v>
      </c>
    </row>
    <row r="29" spans="1:2" x14ac:dyDescent="0.25">
      <c r="A29" s="19" t="s">
        <v>81</v>
      </c>
      <c r="B29" s="11">
        <f>B28/B26-1</f>
        <v>-1.0434937595918947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0.045569</v>
      </c>
      <c r="B5" s="31">
        <v>48.92710590506441</v>
      </c>
      <c r="C5" s="31">
        <v>50.08959348887323</v>
      </c>
      <c r="D5" s="31">
        <v>52.81406192859216</v>
      </c>
      <c r="E5" s="31">
        <v>58.60540639016966</v>
      </c>
      <c r="F5" s="31">
        <v>71.81627521572678</v>
      </c>
    </row>
    <row r="6" spans="1:6" x14ac:dyDescent="0.25">
      <c r="A6" s="30">
        <v>0.055569</v>
      </c>
      <c r="B6" s="31">
        <v>16.186033589625733</v>
      </c>
      <c r="C6" s="31">
        <v>14.428971960570555</v>
      </c>
      <c r="D6" s="31">
        <v>12.671910331515408</v>
      </c>
      <c r="E6" s="31">
        <v>10.914848702460278</v>
      </c>
      <c r="F6" s="31">
        <v>9.157787073405089</v>
      </c>
    </row>
    <row r="7" spans="1:6" x14ac:dyDescent="0.25">
      <c r="A7" s="30">
        <v>0.065569</v>
      </c>
      <c r="B7" s="31">
        <v>-1.9663632334282093</v>
      </c>
      <c r="C7" s="31">
        <v>-3.3724925365420058</v>
      </c>
      <c r="D7" s="32">
        <v>-4.778621839655845</v>
      </c>
      <c r="E7" s="31">
        <v>-6.184751142769658</v>
      </c>
      <c r="F7" s="31">
        <v>-7.59088044588348</v>
      </c>
    </row>
    <row r="8" spans="1:6" x14ac:dyDescent="0.25">
      <c r="A8" s="30">
        <v>0.075569</v>
      </c>
      <c r="B8" s="31">
        <v>-15.008073654987928</v>
      </c>
      <c r="C8" s="31">
        <v>-16.16117715594145</v>
      </c>
      <c r="D8" s="31">
        <v>-17.31428065689499</v>
      </c>
      <c r="E8" s="31">
        <v>-18.46738415784851</v>
      </c>
      <c r="F8" s="31">
        <v>-19.620487658802045</v>
      </c>
    </row>
    <row r="9" spans="1:6" x14ac:dyDescent="0.25">
      <c r="A9" s="30">
        <v>0.085569</v>
      </c>
      <c r="B9" s="31">
        <v>-24.75169067604566</v>
      </c>
      <c r="C9" s="31">
        <v>-25.714988227660953</v>
      </c>
      <c r="D9" s="31">
        <v>-26.678285779276237</v>
      </c>
      <c r="E9" s="31">
        <v>-27.641583330891518</v>
      </c>
      <c r="F9" s="31">
        <v>-28.604880882506816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12946686000</v>
      </c>
      <c r="C5" s="18">
        <v>11879653000</v>
      </c>
      <c r="D5" s="18">
        <v>12147412000</v>
      </c>
      <c r="E5" s="18">
        <v>13764237000</v>
      </c>
      <c r="F5" s="6" t="s">
        <v>91</v>
      </c>
    </row>
    <row r="6" spans="1:6" x14ac:dyDescent="0.25">
      <c r="A6" t="s">
        <v>51</v>
      </c>
      <c r="B6" s="18">
        <v>3215073000</v>
      </c>
      <c r="C6" s="18">
        <v>2758224000</v>
      </c>
      <c r="D6" s="18">
        <v>2660654000</v>
      </c>
      <c r="E6" s="18">
        <v>1887311000</v>
      </c>
      <c r="F6" s="6" t="s">
        <v>92</v>
      </c>
    </row>
    <row r="7" spans="1:6" x14ac:dyDescent="0.25">
      <c r="A7" t="s">
        <v>93</v>
      </c>
      <c r="B7" s="18">
        <v>2537138000</v>
      </c>
      <c r="C7" s="18">
        <v>2443562000</v>
      </c>
      <c r="D7" s="18">
        <v>2244479000</v>
      </c>
      <c r="E7" s="18">
        <v>2190371000</v>
      </c>
      <c r="F7" s="6" t="s">
        <v>94</v>
      </c>
    </row>
    <row r="8" spans="1:6" x14ac:dyDescent="0.25">
      <c r="A8" t="s">
        <v>95</v>
      </c>
      <c r="B8" s="18">
        <v>7941351000</v>
      </c>
      <c r="C8" s="18">
        <v>5969710000</v>
      </c>
      <c r="D8" s="18">
        <v>4746719000</v>
      </c>
      <c r="E8" s="18">
        <v>5394932000</v>
      </c>
      <c r="F8" s="6" t="s">
        <v>96</v>
      </c>
    </row>
    <row r="9" spans="1:6" x14ac:dyDescent="0.25">
      <c r="A9" t="s">
        <v>97</v>
      </c>
      <c r="B9" s="18">
        <v>-437554000</v>
      </c>
      <c r="C9" s="18">
        <v>-746958000</v>
      </c>
      <c r="D9" s="18">
        <v>-935842000</v>
      </c>
      <c r="E9" s="18">
        <v>218083000</v>
      </c>
      <c r="F9" s="6" t="s">
        <v>98</v>
      </c>
    </row>
    <row r="10" spans="1:6" x14ac:dyDescent="0.25">
      <c r="A10" t="s">
        <v>99</v>
      </c>
      <c r="B10" s="18">
        <v>30934935000</v>
      </c>
      <c r="C10" s="18">
        <v>28918886000</v>
      </c>
      <c r="D10" s="18">
        <v>26246067000</v>
      </c>
      <c r="E10" s="18">
        <v>26760170000</v>
      </c>
      <c r="F10" s="6" t="s">
        <v>100</v>
      </c>
    </row>
    <row r="11" spans="1:6" x14ac:dyDescent="0.25">
      <c r="A11" t="s">
        <v>101</v>
      </c>
      <c r="B11" s="18">
        <v>1928916000</v>
      </c>
      <c r="C11" s="18">
        <v>859703000</v>
      </c>
      <c r="D11" s="18">
        <v>132548000</v>
      </c>
      <c r="E11" s="18">
        <v>224164000</v>
      </c>
      <c r="F11" s="6" t="s">
        <v>102</v>
      </c>
    </row>
    <row r="12" spans="1:6" x14ac:dyDescent="0.25">
      <c r="A12" t="s">
        <v>34</v>
      </c>
      <c r="B12" s="34">
        <v>450151884</v>
      </c>
      <c r="C12" s="34">
        <v>431581696</v>
      </c>
      <c r="D12" s="34">
        <v>424752990</v>
      </c>
      <c r="E12" s="34">
        <v>411095156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