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<sst xmlns="http://schemas.openxmlformats.org/spreadsheetml/2006/main" count="113" uniqueCount="101">
  <si>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Entergy Corporation (ETR)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</si>
  <si>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</si>
  <si>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</si>
  <si>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</si>
  <si>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</si>
  <si>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</si>
  <si>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</si>
  <si>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</si>
  <si>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</si>
  <si>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</si>
  <si>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</si>
  <si>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</si>
  <si>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</si>
  <si>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</si>
  <si>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</si>
  <si>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</si>
  <si>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</si>
  <si>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</si>
  <si>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</si>
  <si>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</si>
  <si>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</si>
  <si>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</si>
  <si>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</si>
  <si>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</si>
  <si>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</si>
  <si>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</si>
  <si>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</si>
  <si>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</si>
  <si>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</si>
  <si>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</si>
  <si>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</si>
  <si>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</si>
  <si>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</si>
  <si>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</si>
  <si>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</si>
  <si>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</si>
  <si>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</si>
  <si>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</si>
  <si>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</si>
  <si>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</si>
  <si>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</si>
  <si>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</si>
  <si>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</si>
  <si>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</si>
  <si>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</si>
  <si>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</si>
  <si>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</si>
  <si>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</si>
  <si>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</si>
  <si>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</si>
  <si>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</si>
  <si>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</si>
  <si>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</si>
  <si>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</si>
  <si>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</si>
  <si>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</si>
  <si>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</si>
  <si>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</si>
  <si>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</si>
  <si>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</si>
  <si>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</si>
  <si>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</si>
  <si>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</si>
  <si>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</si>
  <si>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</si>
  <si>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</si>
  <si>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</si>
  <si>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</si>
  <si>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</si>
  <si>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</si>
  <si>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</si>
  <si>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</si>
  <si>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</si>
  <si>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</si>
  <si>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</si>
  <si>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</si>
  <si>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</si>
  <si>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</si>
  <si>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</si>
  <si>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</si>
  <si>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</si>
  <si>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</si>
  <si>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</si>
  <si>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</si>
  <si>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</si>
  <si>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</si>
  <si>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</si>
  <si>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</si>
  <si>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</si>
  <si>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</si>
  <si>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</si>
  <si>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</si>
  <si>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</si>
  <si>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</si>
  <si>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</si>
  <si>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</si>
  <si>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</si>
  <si>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</si>
  <si>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</si>
  <si>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47.5% of revenue against depreciation of 18.6%.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</si>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</sst>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-0.020204385975384764</v>
      </c>
    </row>
    <row r="7" spans="1:2" x14ac:dyDescent="0.25">
      <c r="A7" t="s">
        <v>5</v>
      </c>
      <c r="B7" s="6">
        <v>0.20916494635213828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0.1863915659033843</v>
      </c>
    </row>
    <row r="10" spans="1:2" x14ac:dyDescent="0.25">
      <c r="A10" t="s">
        <v>8</v>
      </c>
      <c r="B10" s="6">
        <v>0.4746541944622848</v>
      </c>
    </row>
    <row r="11" spans="1:2" x14ac:dyDescent="0.25">
      <c r="A11" t="s">
        <v>9</v>
      </c>
      <c r="B11" s="6">
        <v>0.5788146521732408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13.51551634945241</v>
      </c>
    </row>
    <row r="14" spans="1:3" x14ac:dyDescent="0.25">
      <c r="A14" t="s">
        <v>12</v>
      </c>
      <c r="B14" s="6">
        <v>0.06785034756015797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0.6522699999999999</v>
      </c>
      <c r="C19" s="8" t="s">
        <v>19</v>
      </c>
    </row>
    <row r="20" spans="1:2" x14ac:dyDescent="0.25">
      <c r="A20" t="s">
        <v>20</v>
      </c>
      <c r="B20" s="10">
        <f>B17+B19*B18</f>
        <v>0.08585485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48738082816</v>
      </c>
    </row>
    <row r="23" spans="1:2" x14ac:dyDescent="0.25">
      <c r="A23" t="s">
        <v>24</v>
      </c>
      <c r="B23" s="11">
        <v>30934935000</v>
      </c>
    </row>
    <row r="24" spans="1:2" x14ac:dyDescent="0.25">
      <c r="A24" t="s">
        <v>25</v>
      </c>
      <c r="B24" s="10">
        <f>B22/(B22+B23)</f>
        <v>0.6117263303438266</v>
      </c>
    </row>
    <row r="25" spans="1:2" x14ac:dyDescent="0.25">
      <c r="A25" t="s">
        <v>26</v>
      </c>
      <c r="B25" s="10">
        <f>1-B24</f>
        <v>0.3882736696561734</v>
      </c>
    </row>
    <row r="26" spans="1:2" x14ac:dyDescent="0.25">
      <c r="A26" t="s">
        <v>27</v>
      </c>
      <c r="B26" s="12">
        <f>B24*B20+B25*B21*(1-B8)</f>
        <v>0.06785034756015797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12946686000</v>
      </c>
      <c r="C29" s="8" t="s">
        <v>30</v>
      </c>
    </row>
    <row r="30" spans="1:2" x14ac:dyDescent="0.25">
      <c r="A30" t="s">
        <v>31</v>
      </c>
      <c r="B30" s="11">
        <v>29006019000</v>
      </c>
    </row>
    <row r="31" spans="1:2" x14ac:dyDescent="0.25">
      <c r="A31" t="s">
        <v>32</v>
      </c>
      <c r="B31" s="13">
        <v>450151884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-0.020204385975384764</v>
      </c>
      <c r="C5" s="10">
        <f>Assumptions!B6</f>
        <v>-0.020204385975384764</v>
      </c>
      <c r="D5" s="10">
        <f>Assumptions!B6</f>
        <v>-0.020204385975384764</v>
      </c>
      <c r="E5" s="10">
        <f>Assumptions!B6</f>
        <v>-0.020204385975384764</v>
      </c>
      <c r="F5" s="10">
        <f>Assumptions!B6</f>
        <v>-0.020204385975384764</v>
      </c>
    </row>
    <row r="6" spans="1:6" x14ac:dyDescent="0.25">
      <c r="A6" t="s">
        <v>43</v>
      </c>
      <c r="B6" s="18">
        <f>Assumptions!B29*(1+B5)</f>
        <v>12685106158.95389</v>
      </c>
      <c r="C6" s="18">
        <f>B6*(1+C5)</f>
        <v>12428811377.979654</v>
      </c>
      <c r="D6" s="18">
        <f>C6*(1+D5)</f>
        <v>12177694875.683699</v>
      </c>
      <c r="E6" s="18">
        <f>D6*(1+E5)</f>
        <v>11931652028.12492</v>
      </c>
      <c r="F6" s="18">
        <f>E6*(1+F5)</f>
        <v>11690580325.2247</v>
      </c>
    </row>
    <row r="7" spans="1:6" x14ac:dyDescent="0.25">
      <c r="A7" t="s">
        <v>5</v>
      </c>
      <c r="B7" s="10">
        <f>Assumptions!B7</f>
        <v>0.20916494635213828</v>
      </c>
      <c r="C7" s="10">
        <f>Assumptions!B7</f>
        <v>0.20916494635213828</v>
      </c>
      <c r="D7" s="10">
        <f>Assumptions!B7</f>
        <v>0.20916494635213828</v>
      </c>
      <c r="E7" s="10">
        <f>Assumptions!B7</f>
        <v>0.20916494635213828</v>
      </c>
      <c r="F7" s="10">
        <f>Assumptions!B7</f>
        <v>0.20916494635213828</v>
      </c>
    </row>
    <row r="8" spans="1:6" x14ac:dyDescent="0.25">
      <c r="A8" t="s">
        <v>44</v>
      </c>
      <c r="B8" s="18">
        <f>B6*B7</f>
        <v>2653279549.2087693</v>
      </c>
      <c r="C8" s="18">
        <f>C6*C7</f>
        <v>2599671665.09596</v>
      </c>
      <c r="D8" s="18">
        <f>D6*D7</f>
        <v>2547146895.36509</v>
      </c>
      <c r="E8" s="18">
        <f>E6*E7</f>
        <v>2495683356.3551307</v>
      </c>
      <c r="F8" s="18">
        <f>F6*F7</f>
        <v>2445259606.5509877</v>
      </c>
    </row>
    <row r="9" spans="1:6" x14ac:dyDescent="0.25">
      <c r="A9" t="s">
        <v>45</v>
      </c>
      <c r="B9" s="18">
        <f>B8*(1-Assumptions!B8)</f>
        <v>2096090843.8749278</v>
      </c>
      <c r="C9" s="18">
        <f>C8*(1-Assumptions!B8)</f>
        <v>2053740615.4258087</v>
      </c>
      <c r="D9" s="18">
        <f>D8*(1-Assumptions!B8)</f>
        <v>2012246047.338421</v>
      </c>
      <c r="E9" s="18">
        <f>E8*(1-Assumptions!B8)</f>
        <v>1971589851.5205534</v>
      </c>
      <c r="F9" s="18">
        <f>F8*(1-Assumptions!B8)</f>
        <v>1931755089.1752803</v>
      </c>
    </row>
    <row r="10" spans="1:6" x14ac:dyDescent="0.25">
      <c r="A10" t="s">
        <v>46</v>
      </c>
      <c r="B10" s="18">
        <f>B6*Assumptions!B9</f>
        <v>2364396800.61808</v>
      </c>
      <c r="C10" s="18">
        <f>C6*Assumptions!B9</f>
        <v>2316625615.0594273</v>
      </c>
      <c r="D10" s="18">
        <f>D6*Assumptions!B9</f>
        <v>2269819616.9723034</v>
      </c>
      <c r="E10" s="18">
        <f>E6*Assumptions!B9</f>
        <v>2223959305.336495</v>
      </c>
      <c r="F10" s="18">
        <f>F6*Assumptions!B9</f>
        <v>2179025573.1379275</v>
      </c>
    </row>
    <row r="11" spans="1:6" x14ac:dyDescent="0.25">
      <c r="A11" t="s">
        <v>47</v>
      </c>
      <c r="B11" s="18">
        <f>-B6*Assumptions!B10</f>
        <v>-6021038845.546826</v>
      </c>
      <c r="C11" s="18">
        <f>-C6*Assumptions!B10</f>
        <v>-5899387452.738613</v>
      </c>
      <c r="D11" s="18">
        <f>-D6*Assumptions!B10</f>
        <v>-5780193951.625139</v>
      </c>
      <c r="E11" s="18">
        <f>-E6*Assumptions!B10</f>
        <v>-5663408682.013921</v>
      </c>
      <c r="F11" s="18">
        <f>-F6*Assumptions!B10</f>
        <v>-5548982987.066166</v>
      </c>
    </row>
    <row r="12" spans="1:6" x14ac:dyDescent="0.25">
      <c r="A12" t="s">
        <v>48</v>
      </c>
      <c r="B12" s="18">
        <f>-(B6-Assumptions!B29)*Assumptions!B11</f>
        <v>151406244.71063587</v>
      </c>
      <c r="C12" s="18">
        <f>-(C6-B6)*Assumptions!B11</f>
        <v>148347174.50341907</v>
      </c>
      <c r="D12" s="18">
        <f>-(D6-C6)*Assumptions!B11</f>
        <v>145349910.9313944</v>
      </c>
      <c r="E12" s="18">
        <f>-(E6-D6)*Assumptions!B11</f>
        <v>142413205.22944823</v>
      </c>
      <c r="F12" s="18">
        <f>-(F6-E6)*Assumptions!B11</f>
        <v>139535833.86300108</v>
      </c>
    </row>
    <row r="13" spans="1:6" x14ac:dyDescent="0.25">
      <c r="A13" s="19" t="s">
        <v>49</v>
      </c>
      <c r="B13" s="20">
        <f>B9+B10+B11+B12</f>
        <v>-1409144956.3431828</v>
      </c>
      <c r="C13" s="20">
        <f>C9+C10+C11+C12</f>
        <v>-1380674047.7499578</v>
      </c>
      <c r="D13" s="20">
        <f>D9+D10+D11+D12</f>
        <v>-1352778376.3830206</v>
      </c>
      <c r="E13" s="20">
        <f>E9+E10+E11+E12</f>
        <v>-1325446319.9274244</v>
      </c>
      <c r="F13" s="20">
        <f>F9+F10+F11+F12</f>
        <v>-1298666490.8899572</v>
      </c>
    </row>
    <row r="14" spans="1:6" x14ac:dyDescent="0.25">
      <c r="A14" t="s">
        <v>50</v>
      </c>
      <c r="B14" s="21">
        <f>1/(1+Assumptions!$B$26)^(1-0.5*Assumptions!$B$32)</f>
        <v>0.9677090516556149</v>
      </c>
      <c r="C14" s="21">
        <f>1/(1+Assumptions!$B$26)^(2-0.5*Assumptions!$B$32)</f>
        <v>0.906221601057351</v>
      </c>
      <c r="D14" s="21">
        <f>1/(1+Assumptions!$B$26)^(3-0.5*Assumptions!$B$32)</f>
        <v>0.8486410133478917</v>
      </c>
      <c r="E14" s="21">
        <f>1/(1+Assumptions!$B$26)^(4-0.5*Assumptions!$B$32)</f>
        <v>0.7947190496185919</v>
      </c>
      <c r="F14" s="21">
        <f>1/(1+Assumptions!$B$26)^(5-0.5*Assumptions!$B$32)</f>
        <v>0.7442232438603209</v>
      </c>
    </row>
    <row r="15" spans="1:6" x14ac:dyDescent="0.25">
      <c r="A15" s="19" t="s">
        <v>51</v>
      </c>
      <c r="B15" s="20">
        <f>B13*B14</f>
        <v>-1363642329.3481543</v>
      </c>
      <c r="C15" s="20">
        <f>C13*C14</f>
        <v>-1251196646.0903</v>
      </c>
      <c r="D15" s="20">
        <f>D13*D14</f>
        <v>-1148023212.1688023</v>
      </c>
      <c r="E15" s="20">
        <f>E13*E14</f>
        <v>-1053357439.6931828</v>
      </c>
      <c r="F15" s="20">
        <f>F13*F14</f>
        <v>-966497788.5428238</v>
      </c>
    </row>
    <row r="17" spans="1:2" x14ac:dyDescent="0.25">
      <c r="A17" s="22" t="s">
        <v>52</v>
      </c>
      <c r="B17" s="23">
        <f>SUM(B15:F15)</f>
        <v>-5782717415.843264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-1298666490.8899572</v>
      </c>
    </row>
    <row r="5" spans="1:2" x14ac:dyDescent="0.25">
      <c r="A5" t="s">
        <v>56</v>
      </c>
      <c r="B5" s="18">
        <f>IF(Assumptions!$B$33=0,B4,B4-Forecast!F11-Forecast!F10-Forecast!F12)</f>
        <v>1931755089.1752803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0.3684579504597868</v>
      </c>
    </row>
    <row r="7" spans="1:2" x14ac:dyDescent="0.25">
      <c r="A7" t="s">
        <v>58</v>
      </c>
      <c r="B7" s="18">
        <f>-MAX(Forecast!F9,0)*B6</f>
        <v>-711770520.9477865</v>
      </c>
    </row>
    <row r="8" spans="1:2" x14ac:dyDescent="0.25">
      <c r="A8" t="s">
        <v>59</v>
      </c>
      <c r="B8" s="18">
        <f>IF(OR(Assumptions!$B$33=0,Assumptions!B12&lt;=0),B5,MAX(B5+B7,0))</f>
        <v>1219984568.2274938</v>
      </c>
    </row>
    <row r="9" spans="1:2" x14ac:dyDescent="0.25">
      <c r="A9" t="s">
        <v>60</v>
      </c>
      <c r="B9" s="18">
        <f>B8*(1+Assumptions!B12)/(Assumptions!B26-Assumptions!B12)</f>
        <v>29182591358.85924</v>
      </c>
    </row>
    <row r="10" spans="1:2" x14ac:dyDescent="0.25">
      <c r="A10" t="s">
        <v>61</v>
      </c>
      <c r="B10" s="18">
        <f>B9/(1+Assumptions!B26)^(5-0.5*Assumptions!B32)</f>
        <v>21718362805.340393</v>
      </c>
    </row>
    <row r="11" spans="1:2" x14ac:dyDescent="0.25">
      <c r="A11" t="s">
        <v>62</v>
      </c>
      <c r="B11" s="18">
        <f>Forecast!B17+B10</f>
        <v>15935645389.49713</v>
      </c>
    </row>
    <row r="12" spans="1:2" x14ac:dyDescent="0.25">
      <c r="A12" t="s">
        <v>63</v>
      </c>
      <c r="B12" s="18">
        <f>-Assumptions!B30</f>
        <v>-29006019000</v>
      </c>
    </row>
    <row r="13" spans="1:2" x14ac:dyDescent="0.25">
      <c r="A13" t="s">
        <v>64</v>
      </c>
      <c r="B13" s="18">
        <f>B11+B12</f>
        <v>-13070373610.50287</v>
      </c>
    </row>
    <row r="14" spans="1:2" x14ac:dyDescent="0.25">
      <c r="A14" s="19" t="s">
        <v>65</v>
      </c>
      <c r="B14" s="24">
        <f>B13/Assumptions!B31</f>
        <v>-29.03547463660703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4624285179.688915</v>
      </c>
    </row>
    <row r="18" spans="1:2" x14ac:dyDescent="0.25">
      <c r="A18" t="s">
        <v>60</v>
      </c>
      <c r="B18" s="18">
        <f>B17*Assumptions!B13</f>
        <v>62499601950.61601</v>
      </c>
    </row>
    <row r="19" spans="1:2" x14ac:dyDescent="0.25">
      <c r="A19" t="s">
        <v>61</v>
      </c>
      <c r="B19" s="18">
        <f>B18/(1+Assumptions!B26)^(5-0.5*Assumptions!B32)</f>
        <v>46513656503.66629</v>
      </c>
    </row>
    <row r="20" spans="1:2" x14ac:dyDescent="0.25">
      <c r="A20" t="s">
        <v>62</v>
      </c>
      <c r="B20" s="18">
        <f>Forecast!B17+B19</f>
        <v>40730939087.82303</v>
      </c>
    </row>
    <row r="21" spans="1:2" x14ac:dyDescent="0.25">
      <c r="A21" t="s">
        <v>63</v>
      </c>
      <c r="B21" s="18">
        <f>-Assumptions!B30</f>
        <v>-29006019000</v>
      </c>
    </row>
    <row r="22" spans="1:2" x14ac:dyDescent="0.25">
      <c r="A22" t="s">
        <v>64</v>
      </c>
      <c r="B22" s="18">
        <f>B20+B21</f>
        <v>11724920087.823029</v>
      </c>
    </row>
    <row r="23" spans="1:2" x14ac:dyDescent="0.25">
      <c r="A23" s="19" t="s">
        <v>65</v>
      </c>
      <c r="B23" s="25">
        <f>B22/Assumptions!B31</f>
        <v>26.046586728987297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102.01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-29.03547463660703</v>
      </c>
    </row>
    <row r="29" spans="1:2" x14ac:dyDescent="0.25">
      <c r="A29" s="19" t="s">
        <v>73</v>
      </c>
      <c r="B29" s="12">
        <f>B28/B26-1</f>
        <v>-1.2846336107892071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0.04785</v>
      </c>
      <c r="B5" s="31">
        <v>-2.351661178558315</v>
      </c>
      <c r="C5" s="31">
        <v>-0.9714759267208446</v>
      </c>
      <c r="D5" s="31">
        <v>0.861980818339317</v>
      </c>
      <c r="E5" s="31">
        <v>3.5296094710950947</v>
      </c>
      <c r="F5" s="31">
        <v>8.005151558039259</v>
      </c>
    </row>
    <row r="6" spans="1:6" x14ac:dyDescent="0.25">
      <c r="A6" s="30">
        <v>0.05785</v>
      </c>
      <c r="B6" s="31">
        <v>-19.109468762552726</v>
      </c>
      <c r="C6" s="31">
        <v>-18.821496122949092</v>
      </c>
      <c r="D6" s="31">
        <v>-18.53352348334549</v>
      </c>
      <c r="E6" s="31">
        <v>-18.245550843741853</v>
      </c>
      <c r="F6" s="31">
        <v>-17.95757820413824</v>
      </c>
    </row>
    <row r="7" spans="1:6" x14ac:dyDescent="0.25">
      <c r="A7" s="30">
        <v>0.06785</v>
      </c>
      <c r="B7" s="31">
        <v>-29.50586960855153</v>
      </c>
      <c r="C7" s="31">
        <v>-29.27051808648888</v>
      </c>
      <c r="D7" s="32">
        <v>-29.03516656442624</v>
      </c>
      <c r="E7" s="31">
        <v>-28.79981504236359</v>
      </c>
      <c r="F7" s="31">
        <v>-28.564463520300944</v>
      </c>
    </row>
    <row r="8" spans="1:6" x14ac:dyDescent="0.25">
      <c r="A8" s="30">
        <v>0.07785</v>
      </c>
      <c r="B8" s="31">
        <v>-37.07855234521213</v>
      </c>
      <c r="C8" s="31">
        <v>-36.88185798252267</v>
      </c>
      <c r="D8" s="31">
        <v>-36.68516361983325</v>
      </c>
      <c r="E8" s="31">
        <v>-36.4884692571438</v>
      </c>
      <c r="F8" s="31">
        <v>-36.29177489445436</v>
      </c>
    </row>
    <row r="9" spans="1:6" x14ac:dyDescent="0.25">
      <c r="A9" s="30">
        <v>0.08785</v>
      </c>
      <c r="B9" s="31">
        <v>-42.79969685060859</v>
      </c>
      <c r="C9" s="31">
        <v>-42.632487461923596</v>
      </c>
      <c r="D9" s="31">
        <v>-42.4652780732386</v>
      </c>
      <c r="E9" s="31">
        <v>-42.298068684553606</v>
      </c>
      <c r="F9" s="31">
        <v>-42.13085929586863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12946686000</v>
      </c>
      <c r="C5" s="18">
        <v>11879653000</v>
      </c>
      <c r="D5" s="18">
        <v>12147412000</v>
      </c>
      <c r="E5" s="18">
        <v>13764237000</v>
      </c>
      <c r="F5" s="8" t="s">
        <v>84</v>
      </c>
    </row>
    <row r="6" spans="1:6" x14ac:dyDescent="0.25">
      <c r="A6" t="s">
        <v>44</v>
      </c>
      <c r="B6" s="18">
        <v>3215073000</v>
      </c>
      <c r="C6" s="18">
        <v>2758224000</v>
      </c>
      <c r="D6" s="18">
        <v>2660654000</v>
      </c>
      <c r="E6" s="18">
        <v>1887311000</v>
      </c>
      <c r="F6" s="8" t="s">
        <v>85</v>
      </c>
    </row>
    <row r="7" spans="1:6" x14ac:dyDescent="0.25">
      <c r="A7" t="s">
        <v>86</v>
      </c>
      <c r="B7" s="18">
        <v>2537138000</v>
      </c>
      <c r="C7" s="18">
        <v>2443562000</v>
      </c>
      <c r="D7" s="18">
        <v>2244479000</v>
      </c>
      <c r="E7" s="18">
        <v>2190371000</v>
      </c>
      <c r="F7" s="8" t="s">
        <v>87</v>
      </c>
    </row>
    <row r="8" spans="1:6" x14ac:dyDescent="0.25">
      <c r="A8" t="s">
        <v>88</v>
      </c>
      <c r="B8" s="18">
        <v>7941351000</v>
      </c>
      <c r="C8" s="18">
        <v>5969710000</v>
      </c>
      <c r="D8" s="18">
        <v>4746719000</v>
      </c>
      <c r="E8" s="18">
        <v>5394932000</v>
      </c>
      <c r="F8" s="8" t="s">
        <v>89</v>
      </c>
    </row>
    <row r="9" spans="1:6" x14ac:dyDescent="0.25">
      <c r="A9" t="s">
        <v>90</v>
      </c>
      <c r="B9" s="18">
        <v>-437554000</v>
      </c>
      <c r="C9" s="18">
        <v>-746958000</v>
      </c>
      <c r="D9" s="18">
        <v>-935842000</v>
      </c>
      <c r="E9" s="18">
        <v>218083000</v>
      </c>
      <c r="F9" s="8" t="s">
        <v>91</v>
      </c>
    </row>
    <row r="10" spans="1:6" x14ac:dyDescent="0.25">
      <c r="A10" t="s">
        <v>92</v>
      </c>
      <c r="B10" s="18">
        <v>30934935000</v>
      </c>
      <c r="C10" s="18">
        <v>28918886000</v>
      </c>
      <c r="D10" s="18">
        <v>26246067000</v>
      </c>
      <c r="E10" s="18">
        <v>26760170000</v>
      </c>
      <c r="F10" s="8" t="s">
        <v>93</v>
      </c>
    </row>
    <row r="11" spans="1:6" x14ac:dyDescent="0.25">
      <c r="A11" t="s">
        <v>94</v>
      </c>
      <c r="B11" s="18">
        <v>1928916000</v>
      </c>
      <c r="C11" s="18">
        <v>859703000</v>
      </c>
      <c r="D11" s="18">
        <v>132548000</v>
      </c>
      <c r="E11" s="18">
        <v>224164000</v>
      </c>
      <c r="F11" s="8" t="s">
        <v>95</v>
      </c>
    </row>
    <row r="12" spans="1:6" x14ac:dyDescent="0.25">
      <c r="A12" t="s">
        <v>32</v>
      </c>
      <c r="B12" s="34">
        <v>450151884</v>
      </c>
      <c r="C12" s="34">
        <v>431581696</v>
      </c>
      <c r="D12" s="34">
        <v>424752990</v>
      </c>
      <c r="E12" s="34">
        <v>411095156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