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<sst xmlns="http://schemas.openxmlformats.org/spreadsheetml/2006/main" count="113" uniqueCount="101">
  <si>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Evolution Mining Limited (EVN.AX)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</si>
  <si>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</si>
  <si>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</si>
  <si>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</si>
  <si>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</si>
  <si>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</si>
  <si>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</si>
  <si>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</si>
  <si>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</si>
  <si>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</si>
  <si>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</si>
  <si>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</si>
  <si>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</si>
  <si>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</si>
  <si>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</si>
  <si>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</si>
  <si>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</si>
  <si>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</si>
  <si>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</si>
  <si>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</si>
  <si>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</si>
  <si>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</si>
  <si>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</si>
  <si>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</si>
  <si>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</si>
  <si>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</si>
  <si>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</si>
  <si>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</si>
  <si>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</si>
  <si>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</si>
  <si>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</si>
  <si>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</si>
  <si>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</si>
  <si>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</si>
  <si>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</si>
  <si>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</si>
  <si>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</si>
  <si>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</si>
  <si>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</si>
  <si>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</si>
  <si>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</si>
  <si>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</si>
  <si>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</si>
  <si>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</si>
  <si>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</si>
  <si>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</si>
  <si>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</si>
  <si>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</si>
  <si>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</si>
  <si>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</si>
  <si>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</si>
  <si>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</si>
  <si>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</si>
  <si>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</si>
  <si>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</si>
  <si>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</si>
  <si>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</si>
  <si>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</si>
  <si>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</si>
  <si>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</si>
  <si>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</si>
  <si>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</si>
  <si>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</si>
  <si>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</si>
  <si>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</si>
  <si>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</si>
  <si>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</si>
  <si>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</si>
  <si>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</si>
  <si>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</si>
  <si>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</si>
  <si>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</si>
  <si>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</si>
  <si>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</si>
  <si>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</si>
  <si>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</si>
  <si>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</si>
  <si>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</si>
  <si>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</si>
  <si>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</si>
  <si>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</si>
  <si>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</si>
  <si>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</si>
  <si>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</si>
  <si>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</si>
  <si>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</si>
  <si>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</si>
  <si>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</si>
  <si>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</si>
  <si>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</si>
  <si>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</si>
  <si>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</si>
  <si>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</si>
  <si>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</si>
  <si>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</si>
  <si>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</si>
  <si>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</si>
  <si>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</si>
  <si>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</si>
  <si>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Capital expenditure runs at 32.3% of revenue against depreciation of 21.9%.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</si>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</sst>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0.264928330740702</v>
      </c>
    </row>
    <row r="7" spans="1:2" x14ac:dyDescent="0.25">
      <c r="A7" t="s">
        <v>5</v>
      </c>
      <c r="B7" s="6">
        <v>0.21831031566016615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0.21885793721551317</v>
      </c>
    </row>
    <row r="10" spans="1:2" x14ac:dyDescent="0.25">
      <c r="A10" t="s">
        <v>8</v>
      </c>
      <c r="B10" s="6">
        <v>0.32295162373039227</v>
      </c>
    </row>
    <row r="11" spans="1:2" x14ac:dyDescent="0.25">
      <c r="A11" t="s">
        <v>9</v>
      </c>
      <c r="B11" s="6">
        <v>-0.14847138157538264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18.773462916716042</v>
      </c>
    </row>
    <row r="14" spans="1:3" x14ac:dyDescent="0.25">
      <c r="A14" t="s">
        <v>12</v>
      </c>
      <c r="B14" s="6">
        <v>0.1326920972042875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1.4174099999999998</v>
      </c>
      <c r="C19" s="8" t="s">
        <v>19</v>
      </c>
    </row>
    <row r="20" spans="1:2" x14ac:dyDescent="0.25">
      <c r="A20" t="s">
        <v>20</v>
      </c>
      <c r="B20" s="10">
        <f>B17+B19*B18</f>
        <v>0.1385246</v>
      </c>
    </row>
    <row r="21" spans="1:3" x14ac:dyDescent="0.25">
      <c r="A21" t="s">
        <v>21</v>
      </c>
      <c r="B21" s="6">
        <v>0.07396951154572552</v>
      </c>
      <c r="C21" s="8" t="s">
        <v>22</v>
      </c>
    </row>
    <row r="22" spans="1:2" x14ac:dyDescent="0.25">
      <c r="A22" t="s">
        <v>23</v>
      </c>
      <c r="B22" s="11">
        <v>28010311680</v>
      </c>
    </row>
    <row r="23" spans="1:2" x14ac:dyDescent="0.25">
      <c r="A23" t="s">
        <v>24</v>
      </c>
      <c r="B23" s="11">
        <v>2019074000</v>
      </c>
    </row>
    <row r="24" spans="1:2" x14ac:dyDescent="0.25">
      <c r="A24" t="s">
        <v>25</v>
      </c>
      <c r="B24" s="10">
        <f>B22/(B22+B23)</f>
        <v>0.9327633931138081</v>
      </c>
    </row>
    <row r="25" spans="1:2" x14ac:dyDescent="0.25">
      <c r="A25" t="s">
        <v>26</v>
      </c>
      <c r="B25" s="10">
        <f>1-B24</f>
        <v>0.06723660688619193</v>
      </c>
    </row>
    <row r="26" spans="1:2" x14ac:dyDescent="0.25">
      <c r="A26" t="s">
        <v>27</v>
      </c>
      <c r="B26" s="12">
        <f>B24*B20+B25*B21*(1-B8)</f>
        <v>0.1326920972042875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3303975000</v>
      </c>
      <c r="C29" s="8" t="s">
        <v>30</v>
      </c>
    </row>
    <row r="30" spans="1:2" x14ac:dyDescent="0.25">
      <c r="A30" t="s">
        <v>31</v>
      </c>
      <c r="B30" s="11">
        <v>1615771000</v>
      </c>
    </row>
    <row r="31" spans="1:2" x14ac:dyDescent="0.25">
      <c r="A31" t="s">
        <v>32</v>
      </c>
      <c r="B31" s="13">
        <v>1923776765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0.264928330740702</v>
      </c>
      <c r="C5" s="10">
        <f>Assumptions!B6</f>
        <v>0.264928330740702</v>
      </c>
      <c r="D5" s="10">
        <f>Assumptions!B6</f>
        <v>0.264928330740702</v>
      </c>
      <c r="E5" s="10">
        <f>Assumptions!B6</f>
        <v>0.264928330740702</v>
      </c>
      <c r="F5" s="10">
        <f>Assumptions!B6</f>
        <v>0.264928330740702</v>
      </c>
    </row>
    <row r="6" spans="1:6" x14ac:dyDescent="0.25">
      <c r="A6" t="s">
        <v>43</v>
      </c>
      <c r="B6" s="18">
        <f>Assumptions!B29*(1+B5)</f>
        <v>4179291581.559011</v>
      </c>
      <c r="C6" s="18">
        <f>B6*(1+C5)</f>
        <v>5286504323.940108</v>
      </c>
      <c r="D6" s="18">
        <f>C6*(1+D5)</f>
        <v>6687049089.935064</v>
      </c>
      <c r="E6" s="18">
        <f>D6*(1+E5)</f>
        <v>8458637842.912691</v>
      </c>
      <c r="F6" s="18">
        <f>E6*(1+F5)</f>
        <v>10699570646.975683</v>
      </c>
    </row>
    <row r="7" spans="1:6" x14ac:dyDescent="0.25">
      <c r="A7" t="s">
        <v>5</v>
      </c>
      <c r="B7" s="10">
        <f>Assumptions!B7</f>
        <v>0.21831031566016615</v>
      </c>
      <c r="C7" s="10">
        <f>Assumptions!B7</f>
        <v>0.21831031566016615</v>
      </c>
      <c r="D7" s="10">
        <f>Assumptions!B7</f>
        <v>0.21831031566016615</v>
      </c>
      <c r="E7" s="10">
        <f>Assumptions!B7</f>
        <v>0.21831031566016615</v>
      </c>
      <c r="F7" s="10">
        <f>Assumptions!B7</f>
        <v>0.21831031566016615</v>
      </c>
    </row>
    <row r="8" spans="1:6" x14ac:dyDescent="0.25">
      <c r="A8" t="s">
        <v>44</v>
      </c>
      <c r="B8" s="18">
        <f>B6*B7</f>
        <v>912382464.4060227</v>
      </c>
      <c r="C8" s="18">
        <f>C6*C7</f>
        <v>1154098427.6981983</v>
      </c>
      <c r="D8" s="18">
        <f>D6*D7</f>
        <v>1459851797.6587508</v>
      </c>
      <c r="E8" s="18">
        <f>E6*E7</f>
        <v>1846607897.5412965</v>
      </c>
      <c r="F8" s="18">
        <f>F6*F7</f>
        <v>2335826645.3695097</v>
      </c>
    </row>
    <row r="9" spans="1:6" x14ac:dyDescent="0.25">
      <c r="A9" t="s">
        <v>45</v>
      </c>
      <c r="B9" s="18">
        <f>B8*(1-Assumptions!B8)</f>
        <v>638667725.0842159</v>
      </c>
      <c r="C9" s="18">
        <f>C8*(1-Assumptions!B8)</f>
        <v>807868899.3887388</v>
      </c>
      <c r="D9" s="18">
        <f>D8*(1-Assumptions!B8)</f>
        <v>1021896258.3611255</v>
      </c>
      <c r="E9" s="18">
        <f>E8*(1-Assumptions!B8)</f>
        <v>1292625528.2789075</v>
      </c>
      <c r="F9" s="18">
        <f>F8*(1-Assumptions!B8)</f>
        <v>1635078651.7586567</v>
      </c>
    </row>
    <row r="10" spans="1:6" x14ac:dyDescent="0.25">
      <c r="A10" t="s">
        <v>46</v>
      </c>
      <c r="B10" s="18">
        <f>B6*Assumptions!B9</f>
        <v>914671134.5621648</v>
      </c>
      <c r="C10" s="18">
        <f>C6*Assumptions!B9</f>
        <v>1156993431.4184232</v>
      </c>
      <c r="D10" s="18">
        <f>D6*Assumptions!B9</f>
        <v>1463513769.8820627</v>
      </c>
      <c r="E10" s="18">
        <f>E6*Assumptions!B9</f>
        <v>1851240029.9529495</v>
      </c>
      <c r="F10" s="18">
        <f>F6*Assumptions!B9</f>
        <v>2341685960.8887515</v>
      </c>
    </row>
    <row r="11" spans="1:6" x14ac:dyDescent="0.25">
      <c r="A11" t="s">
        <v>47</v>
      </c>
      <c r="B11" s="18">
        <f>-B6*Assumptions!B10</f>
        <v>-1349709002.3072417</v>
      </c>
      <c r="C11" s="18">
        <f>-C6*Assumptions!B10</f>
        <v>-1707285155.2741976</v>
      </c>
      <c r="D11" s="18">
        <f>-D6*Assumptions!B10</f>
        <v>-2159593361.559371</v>
      </c>
      <c r="E11" s="18">
        <f>-E6*Assumptions!B10</f>
        <v>-2731730825.9159966</v>
      </c>
      <c r="F11" s="18">
        <f>-F6*Assumptions!B10</f>
        <v>-3455443713.6588407</v>
      </c>
    </row>
    <row r="12" spans="1:6" x14ac:dyDescent="0.25">
      <c r="A12" t="s">
        <v>48</v>
      </c>
      <c r="B12" s="18">
        <f>-(B6-Assumptions!B29)*Assumptions!B11</f>
        <v>129959462.17990746</v>
      </c>
      <c r="C12" s="18">
        <f>-(C6-B6)*Assumptions!B11</f>
        <v>164389405.55918974</v>
      </c>
      <c r="D12" s="18">
        <f>-(D6-C6)*Assumptions!B11</f>
        <v>207940816.3654421</v>
      </c>
      <c r="E12" s="18">
        <f>-(E6-D6)*Assumptions!B11</f>
        <v>263030229.73799753</v>
      </c>
      <c r="F12" s="18">
        <f>-(F6-E6)*Assumptions!B11</f>
        <v>332714389.4368287</v>
      </c>
    </row>
    <row r="13" spans="1:6" x14ac:dyDescent="0.25">
      <c r="A13" s="19" t="s">
        <v>49</v>
      </c>
      <c r="B13" s="20">
        <f>B9+B10+B11+B12</f>
        <v>333589319.5190464</v>
      </c>
      <c r="C13" s="20">
        <f>C9+C10+C11+C12</f>
        <v>421966581.09215397</v>
      </c>
      <c r="D13" s="20">
        <f>D9+D10+D11+D12</f>
        <v>533757483.049259</v>
      </c>
      <c r="E13" s="20">
        <f>E9+E10+E11+E12</f>
        <v>675164962.0538583</v>
      </c>
      <c r="F13" s="20">
        <f>F9+F10+F11+F12</f>
        <v>854035288.4253964</v>
      </c>
    </row>
    <row r="14" spans="1:6" x14ac:dyDescent="0.25">
      <c r="A14" t="s">
        <v>50</v>
      </c>
      <c r="B14" s="21">
        <f>1/(1+Assumptions!$B$26)^(1-0.5*Assumptions!$B$32)</f>
        <v>0.9396022861193433</v>
      </c>
      <c r="C14" s="21">
        <f>1/(1+Assumptions!$B$26)^(2-0.5*Assumptions!$B$32)</f>
        <v>0.8295301860394994</v>
      </c>
      <c r="D14" s="21">
        <f>1/(1+Assumptions!$B$26)^(3-0.5*Assumptions!$B$32)</f>
        <v>0.7323527621380489</v>
      </c>
      <c r="E14" s="21">
        <f>1/(1+Assumptions!$B$26)^(4-0.5*Assumptions!$B$32)</f>
        <v>0.6465594347710584</v>
      </c>
      <c r="F14" s="21">
        <f>1/(1+Assumptions!$B$26)^(5-0.5*Assumptions!$B$32)</f>
        <v>0.5708165849897756</v>
      </c>
    </row>
    <row r="15" spans="1:6" x14ac:dyDescent="0.25">
      <c r="A15" s="19" t="s">
        <v>51</v>
      </c>
      <c r="B15" s="20">
        <f>B13*B14</f>
        <v>313441287.2450921</v>
      </c>
      <c r="C15" s="20">
        <f>C13*C14</f>
        <v>350034016.515826</v>
      </c>
      <c r="D15" s="20">
        <f>D13*D14</f>
        <v>390898767.02297765</v>
      </c>
      <c r="E15" s="20">
        <f>E13*E14</f>
        <v>436534276.24276567</v>
      </c>
      <c r="F15" s="20">
        <f>F13*F14</f>
        <v>487497506.7997428</v>
      </c>
    </row>
    <row r="17" spans="1:2" x14ac:dyDescent="0.25">
      <c r="A17" s="22" t="s">
        <v>52</v>
      </c>
      <c r="B17" s="23">
        <f>SUM(B15:F15)</f>
        <v>1978405853.826404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854035288.4253964</v>
      </c>
    </row>
    <row r="5" spans="1:2" x14ac:dyDescent="0.25">
      <c r="A5" t="s">
        <v>56</v>
      </c>
      <c r="B5" s="18">
        <f>IF(Assumptions!$B$33=0,B4,B4-Forecast!F11-Forecast!F10-Forecast!F12)</f>
        <v>1635078651.7586567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0.18840609596750127</v>
      </c>
    </row>
    <row r="7" spans="1:2" x14ac:dyDescent="0.25">
      <c r="A7" t="s">
        <v>58</v>
      </c>
      <c r="B7" s="18">
        <f>-MAX(Forecast!F9,0)*B6</f>
        <v>-308058785.3776541</v>
      </c>
    </row>
    <row r="8" spans="1:2" x14ac:dyDescent="0.25">
      <c r="A8" t="s">
        <v>59</v>
      </c>
      <c r="B8" s="18">
        <f>IF(OR(Assumptions!$B$33=0,Assumptions!B12&lt;=0),B5,MAX(B5+B7,0))</f>
        <v>1327019866.3810027</v>
      </c>
    </row>
    <row r="9" spans="1:2" x14ac:dyDescent="0.25">
      <c r="A9" t="s">
        <v>60</v>
      </c>
      <c r="B9" s="18">
        <f>B8*(1+Assumptions!B12)/(Assumptions!B26-Assumptions!B12)</f>
        <v>12630410200.483814</v>
      </c>
    </row>
    <row r="10" spans="1:2" x14ac:dyDescent="0.25">
      <c r="A10" t="s">
        <v>61</v>
      </c>
      <c r="B10" s="18">
        <f>B9/(1+Assumptions!B26)^(5-0.5*Assumptions!B32)</f>
        <v>7209647617.660198</v>
      </c>
    </row>
    <row r="11" spans="1:2" x14ac:dyDescent="0.25">
      <c r="A11" t="s">
        <v>62</v>
      </c>
      <c r="B11" s="18">
        <f>Forecast!B17+B10</f>
        <v>9188053471.486603</v>
      </c>
    </row>
    <row r="12" spans="1:2" x14ac:dyDescent="0.25">
      <c r="A12" t="s">
        <v>63</v>
      </c>
      <c r="B12" s="18">
        <f>-Assumptions!B30</f>
        <v>-1615771000</v>
      </c>
    </row>
    <row r="13" spans="1:2" x14ac:dyDescent="0.25">
      <c r="A13" t="s">
        <v>64</v>
      </c>
      <c r="B13" s="18">
        <f>B11+B12</f>
        <v>7572282471.486603</v>
      </c>
    </row>
    <row r="14" spans="1:2" x14ac:dyDescent="0.25">
      <c r="A14" s="19" t="s">
        <v>65</v>
      </c>
      <c r="B14" s="24">
        <f>B13/Assumptions!B31</f>
        <v>3.936154448505673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4677512606.258261</v>
      </c>
    </row>
    <row r="18" spans="1:2" x14ac:dyDescent="0.25">
      <c r="A18" t="s">
        <v>60</v>
      </c>
      <c r="B18" s="18">
        <f>B17*Assumptions!B13</f>
        <v>87813109456.06126</v>
      </c>
    </row>
    <row r="19" spans="1:2" x14ac:dyDescent="0.25">
      <c r="A19" t="s">
        <v>61</v>
      </c>
      <c r="B19" s="18">
        <f>B18/(1+Assumptions!B26)^(5-0.5*Assumptions!B32)</f>
        <v>50125179257.04226</v>
      </c>
    </row>
    <row r="20" spans="1:2" x14ac:dyDescent="0.25">
      <c r="A20" t="s">
        <v>62</v>
      </c>
      <c r="B20" s="18">
        <f>Forecast!B17+B19</f>
        <v>52103585110.86866</v>
      </c>
    </row>
    <row r="21" spans="1:2" x14ac:dyDescent="0.25">
      <c r="A21" t="s">
        <v>63</v>
      </c>
      <c r="B21" s="18">
        <f>-Assumptions!B30</f>
        <v>-1615771000</v>
      </c>
    </row>
    <row r="22" spans="1:2" x14ac:dyDescent="0.25">
      <c r="A22" t="s">
        <v>64</v>
      </c>
      <c r="B22" s="18">
        <f>B20+B21</f>
        <v>50487814110.86866</v>
      </c>
    </row>
    <row r="23" spans="1:2" x14ac:dyDescent="0.25">
      <c r="A23" s="19" t="s">
        <v>65</v>
      </c>
      <c r="B23" s="25">
        <f>B22/Assumptions!B31</f>
        <v>26.24411263791756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3.936154448505673</v>
      </c>
    </row>
    <row r="29" spans="1:2" x14ac:dyDescent="0.25">
      <c r="A29" s="19" t="s">
        <v>73</v>
      </c>
      <c r="B29" s="12">
        <f>B28/B26-1</f>
        <v>-0.7126894563134545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0.112692</v>
      </c>
      <c r="B5" s="31">
        <v>4.974342135987362</v>
      </c>
      <c r="C5" s="31">
        <v>4.997664552428246</v>
      </c>
      <c r="D5" s="31">
        <v>5.0209869688691295</v>
      </c>
      <c r="E5" s="31">
        <v>5.0443093853100125</v>
      </c>
      <c r="F5" s="31">
        <v>5.0676318017508954</v>
      </c>
    </row>
    <row r="6" spans="1:6" x14ac:dyDescent="0.25">
      <c r="A6" s="30">
        <v>0.122692</v>
      </c>
      <c r="B6" s="31">
        <v>4.3906530065832445</v>
      </c>
      <c r="C6" s="31">
        <v>4.411229193932308</v>
      </c>
      <c r="D6" s="31">
        <v>4.431805381281371</v>
      </c>
      <c r="E6" s="31">
        <v>4.452381568630433</v>
      </c>
      <c r="F6" s="31">
        <v>4.472957755979498</v>
      </c>
    </row>
    <row r="7" spans="1:6" x14ac:dyDescent="0.25">
      <c r="A7" s="30">
        <v>0.132692</v>
      </c>
      <c r="B7" s="31">
        <v>3.899596372699739</v>
      </c>
      <c r="C7" s="31">
        <v>3.917877626925098</v>
      </c>
      <c r="D7" s="32">
        <v>3.936158881150456</v>
      </c>
      <c r="E7" s="31">
        <v>3.954440135375815</v>
      </c>
      <c r="F7" s="31">
        <v>3.972721389601174</v>
      </c>
    </row>
    <row r="8" spans="1:6" x14ac:dyDescent="0.25">
      <c r="A8" s="30">
        <v>0.142692</v>
      </c>
      <c r="B8" s="31">
        <v>3.4814655751950987</v>
      </c>
      <c r="C8" s="31">
        <v>3.4978063637850507</v>
      </c>
      <c r="D8" s="31">
        <v>3.514147152375002</v>
      </c>
      <c r="E8" s="31">
        <v>3.5304879409649543</v>
      </c>
      <c r="F8" s="31">
        <v>3.5468287295549055</v>
      </c>
    </row>
    <row r="9" spans="1:6" x14ac:dyDescent="0.25">
      <c r="A9" s="30">
        <v>0.152692</v>
      </c>
      <c r="B9" s="31">
        <v>3.121729831259858</v>
      </c>
      <c r="C9" s="31">
        <v>3.136413275492656</v>
      </c>
      <c r="D9" s="31">
        <v>3.1510967197254547</v>
      </c>
      <c r="E9" s="31">
        <v>3.165780163958253</v>
      </c>
      <c r="F9" s="31">
        <v>3.180463608191051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3303975000</v>
      </c>
      <c r="C5" s="18">
        <v>2285877000</v>
      </c>
      <c r="D5" s="18">
        <v>2064928000</v>
      </c>
      <c r="E5" s="8" t="s">
        <v>83</v>
      </c>
    </row>
    <row r="6" spans="1:5" x14ac:dyDescent="0.25">
      <c r="A6" t="s">
        <v>44</v>
      </c>
      <c r="B6" s="18">
        <v>913004000</v>
      </c>
      <c r="C6" s="18">
        <v>396993000</v>
      </c>
      <c r="D6" s="18">
        <v>423153000</v>
      </c>
      <c r="E6" s="8" t="s">
        <v>84</v>
      </c>
    </row>
    <row r="7" spans="1:5" x14ac:dyDescent="0.25">
      <c r="A7" t="s">
        <v>85</v>
      </c>
      <c r="B7" s="18">
        <v>665079000</v>
      </c>
      <c r="C7" s="18">
        <v>522825000</v>
      </c>
      <c r="D7" s="18">
        <v>467825000</v>
      </c>
      <c r="E7" s="8" t="s">
        <v>86</v>
      </c>
    </row>
    <row r="8" spans="1:5" x14ac:dyDescent="0.25">
      <c r="A8" t="s">
        <v>87</v>
      </c>
      <c r="B8" s="18">
        <v>918269000</v>
      </c>
      <c r="C8" s="18">
        <v>838675000</v>
      </c>
      <c r="D8" s="18">
        <v>669103000</v>
      </c>
      <c r="E8" s="8" t="s">
        <v>88</v>
      </c>
    </row>
    <row r="9" spans="1:5" x14ac:dyDescent="0.25">
      <c r="A9" t="s">
        <v>89</v>
      </c>
      <c r="B9" s="18">
        <v>27236000</v>
      </c>
      <c r="C9" s="18">
        <v>-71520000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2019074000</v>
      </c>
      <c r="C10" s="18">
        <v>1821265000</v>
      </c>
      <c r="D10" s="18">
        <v>1859794000</v>
      </c>
      <c r="E10" s="8" t="s">
        <v>92</v>
      </c>
    </row>
    <row r="11" spans="1:5" x14ac:dyDescent="0.25">
      <c r="A11" t="s">
        <v>93</v>
      </c>
      <c r="B11" s="18">
        <v>403303000</v>
      </c>
      <c r="C11" s="18">
        <v>46146000</v>
      </c>
      <c r="D11" s="18">
        <v>572427000</v>
      </c>
      <c r="E11" s="8" t="s">
        <v>94</v>
      </c>
    </row>
    <row r="12" spans="1:5" x14ac:dyDescent="0.25">
      <c r="A12" t="s">
        <v>32</v>
      </c>
      <c r="B12" s="34">
        <v>1923776765</v>
      </c>
      <c r="C12" s="34">
        <v>1839235096</v>
      </c>
      <c r="D12" s="34">
        <v>1826689266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54" customHeight="1" spans="1:5" x14ac:dyDescent="0.25">
      <c r="A18" s="35" t="s">
        <v>99</v>
      </c>
      <c r="B18" s="35"/>
      <c r="C18" s="35"/>
      <c r="D18" s="35"/>
      <c r="E18" s="35"/>
    </row>
    <row r="20" spans="1:1" x14ac:dyDescent="0.25">
      <c r="A20" s="36" t="s">
        <v>100</v>
      </c>
    </row>
  </sheetData>
  <mergeCells count="3">
    <mergeCell ref="A16:E16"/>
    <mergeCell ref="A17:E17"/>
    <mergeCell ref="A18:E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