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<sst xmlns="http://schemas.openxmlformats.org/spreadsheetml/2006/main" count="120" uniqueCount="107">
  <si>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Evergy, Inc. (EVRG)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</si>
  <si>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</si>
  <si>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</si>
  <si>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</si>
  <si>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</si>
  <si>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</si>
  <si>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</si>
  <si>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</si>
  <si>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</si>
  <si>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</si>
  <si>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</si>
  <si>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</si>
  <si>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</si>
  <si>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</si>
  <si>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</si>
  <si>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</si>
  <si>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</si>
  <si>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</si>
  <si>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</si>
  <si>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</si>
  <si>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</si>
  <si>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</si>
  <si>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</si>
  <si>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</si>
  <si>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2.5x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</si>
  <si>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</si>
  <si>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</si>
  <si>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</si>
  <si>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</si>
  <si>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</si>
  <si>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</si>
  <si>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</si>
  <si>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</si>
  <si>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</si>
  <si>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</si>
  <si>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</si>
  <si>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</si>
  <si>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</si>
  <si>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</si>
  <si>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</si>
  <si>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</si>
  <si>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</si>
  <si>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</si>
  <si>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</si>
  <si>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</si>
  <si>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</si>
  <si>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</si>
  <si>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</si>
  <si>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</si>
  <si>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</si>
  <si>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</si>
  <si>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</si>
  <si>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</si>
  <si>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</si>
  <si>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</si>
  <si>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</si>
  <si>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</si>
  <si>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</si>
  <si>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</si>
  <si>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</si>
  <si>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</si>
  <si>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</si>
  <si>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</si>
  <si>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</si>
  <si>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</si>
  <si>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</si>
  <si>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</si>
  <si>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</si>
  <si>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</si>
  <si>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</si>
  <si>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</si>
  <si>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</si>
  <si>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</si>
  <si>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</si>
  <si>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</si>
  <si>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</si>
  <si>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</si>
  <si>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</si>
  <si>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</si>
  <si>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</si>
  <si>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</si>
  <si>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</si>
  <si>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</si>
  <si>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</si>
  <si>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</si>
  <si>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</si>
  <si>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</si>
  <si>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</si>
  <si>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</si>
  <si>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</si>
  <si>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</si>
  <si>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</si>
  <si>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</si>
  <si>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</si>
  <si>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</si>
  <si>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</si>
  <si>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</si>
  <si>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</si>
  <si>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</si>
  <si>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</si>
  <si>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</si>
  <si>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</si>
  <si>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</si>
  <si>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</si>
  <si>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</si>
  <si>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41.6% of revenue against depreciation of 19.5%.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</si>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</sst>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0.05835411802200752</v>
      </c>
    </row>
    <row r="7" spans="1:2" x14ac:dyDescent="0.25">
      <c r="A7" t="s">
        <v>4</v>
      </c>
      <c r="B7" s="5">
        <v>0.2408092566583836</v>
      </c>
    </row>
    <row r="8" spans="1:2" x14ac:dyDescent="0.25">
      <c r="A8" t="s">
        <v>5</v>
      </c>
      <c r="B8" s="5">
        <v>0.0332987239007797</v>
      </c>
    </row>
    <row r="9" spans="1:2" x14ac:dyDescent="0.25">
      <c r="A9" t="s">
        <v>6</v>
      </c>
      <c r="B9" s="5">
        <v>0.1948410379900247</v>
      </c>
    </row>
    <row r="10" spans="1:3" x14ac:dyDescent="0.25">
      <c r="A10" t="s">
        <v>7</v>
      </c>
      <c r="B10" s="5">
        <v>0.4155635976308204</v>
      </c>
      <c r="C10" s="6" t="s">
        <v>8</v>
      </c>
    </row>
    <row r="11" spans="1:2" x14ac:dyDescent="0.25">
      <c r="A11" t="s">
        <v>9</v>
      </c>
      <c r="B11" s="5">
        <v>0.03017869184074812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12.72084211995638</v>
      </c>
    </row>
    <row r="14" spans="1:3" x14ac:dyDescent="0.25">
      <c r="A14" t="s">
        <v>12</v>
      </c>
      <c r="B14" s="5">
        <v>0.06965244523015578</v>
      </c>
      <c r="C14" s="6" t="s">
        <v>13</v>
      </c>
    </row>
    <row r="15" spans="1:3" x14ac:dyDescent="0.25">
      <c r="A15" t="s">
        <v>14</v>
      </c>
      <c r="B15" s="5">
        <v>0.1948410379900247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0.65294</v>
      </c>
      <c r="C19" s="6" t="s">
        <v>21</v>
      </c>
    </row>
    <row r="20" spans="1:2" x14ac:dyDescent="0.25">
      <c r="A20" t="s">
        <v>22</v>
      </c>
      <c r="B20" s="9">
        <f>B17+B19*B18</f>
        <v>0.076559362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19812636672</v>
      </c>
    </row>
    <row r="23" spans="1:2" x14ac:dyDescent="0.25">
      <c r="A23" t="s">
        <v>26</v>
      </c>
      <c r="B23" s="10">
        <v>15202200000</v>
      </c>
    </row>
    <row r="24" spans="1:2" x14ac:dyDescent="0.25">
      <c r="A24" t="s">
        <v>27</v>
      </c>
      <c r="B24" s="9">
        <f>B22/(B22+B23)</f>
        <v>0.5658354730480121</v>
      </c>
    </row>
    <row r="25" spans="1:2" x14ac:dyDescent="0.25">
      <c r="A25" t="s">
        <v>28</v>
      </c>
      <c r="B25" s="9">
        <f>1-B24</f>
        <v>0.43416452695198793</v>
      </c>
    </row>
    <row r="26" spans="1:2" x14ac:dyDescent="0.25">
      <c r="A26" t="s">
        <v>29</v>
      </c>
      <c r="B26" s="11">
        <f>B24*B20+B25*B21*(1-B8)</f>
        <v>0.06965244523015578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5961600000</v>
      </c>
      <c r="C29" s="6" t="s">
        <v>32</v>
      </c>
    </row>
    <row r="30" spans="1:2" x14ac:dyDescent="0.25">
      <c r="A30" t="s">
        <v>33</v>
      </c>
      <c r="B30" s="10">
        <v>15182400000</v>
      </c>
    </row>
    <row r="31" spans="1:2" x14ac:dyDescent="0.25">
      <c r="A31" t="s">
        <v>34</v>
      </c>
      <c r="B31" s="12">
        <v>233600000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0.05835411802200752</v>
      </c>
      <c r="C5" s="5">
        <v>0.05872515490732111</v>
      </c>
      <c r="D5" s="5">
        <v>0.05450951054390597</v>
      </c>
      <c r="E5" s="5">
        <v>0.05029386618049083</v>
      </c>
      <c r="F5" s="5">
        <v>0.046078221817075694</v>
      </c>
      <c r="G5" s="5">
        <v>0.04186257745366055</v>
      </c>
      <c r="H5" s="5">
        <v>0.037646933090245416</v>
      </c>
      <c r="I5" s="5">
        <v>0.03343128872683028</v>
      </c>
      <c r="J5" s="5">
        <v>0.02921564436341514</v>
      </c>
      <c r="K5" s="5">
        <v>0.025</v>
      </c>
    </row>
    <row r="6" spans="1:11" x14ac:dyDescent="0.25">
      <c r="A6" t="s">
        <v>50</v>
      </c>
      <c r="B6" s="18">
        <f>Assumptions!B29*(1+B5)</f>
        <v>6309483910</v>
      </c>
      <c r="C6" s="18">
        <f>B6*(1+C5)</f>
        <v>6680009330</v>
      </c>
      <c r="D6" s="18">
        <f>C6*(1+D5)</f>
        <v>7044133369.007025</v>
      </c>
      <c r="E6" s="18">
        <f>D6*(1+E5)</f>
        <v>7398410070.0253935</v>
      </c>
      <c r="F6" s="18">
        <f>E6*(1+F5)</f>
        <v>7739315650.32571</v>
      </c>
      <c r="G6" s="18">
        <f>F6*(1+G5)</f>
        <v>8063303351.175797</v>
      </c>
      <c r="H6" s="18">
        <f>G6*(1+H5)</f>
        <v>8366861992.923864</v>
      </c>
      <c r="I6" s="18">
        <f>H6*(1+I5)</f>
        <v>8646576971.946844</v>
      </c>
      <c r="J6" s="18">
        <f>I6*(1+J5)</f>
        <v>8899192289.720137</v>
      </c>
      <c r="K6" s="18">
        <f>J6*(1+K5)</f>
        <v>9121672096.963139</v>
      </c>
    </row>
    <row r="7" spans="1:11" x14ac:dyDescent="0.25">
      <c r="A7" t="s">
        <v>4</v>
      </c>
      <c r="B7" s="9">
        <f>Assumptions!B7</f>
        <v>0.2408092566583836</v>
      </c>
      <c r="C7" s="9">
        <f>Assumptions!B7</f>
        <v>0.2408092566583836</v>
      </c>
      <c r="D7" s="9">
        <f>Assumptions!B7</f>
        <v>0.2408092566583836</v>
      </c>
      <c r="E7" s="9">
        <f>Assumptions!B7</f>
        <v>0.2408092566583836</v>
      </c>
      <c r="F7" s="9">
        <f>Assumptions!B7</f>
        <v>0.2408092566583836</v>
      </c>
      <c r="G7" s="9">
        <f>Assumptions!B7</f>
        <v>0.2408092566583836</v>
      </c>
      <c r="H7" s="9">
        <f>Assumptions!B7</f>
        <v>0.2408092566583836</v>
      </c>
      <c r="I7" s="9">
        <f>Assumptions!B7</f>
        <v>0.2408092566583836</v>
      </c>
      <c r="J7" s="9">
        <f>Assumptions!B7</f>
        <v>0.2408092566583836</v>
      </c>
      <c r="K7" s="9">
        <f>Assumptions!B7</f>
        <v>0.2408092566583836</v>
      </c>
    </row>
    <row r="8" spans="1:11" x14ac:dyDescent="0.25">
      <c r="A8" t="s">
        <v>51</v>
      </c>
      <c r="B8" s="18">
        <f>B6*B7</f>
        <v>1519382130.2651317</v>
      </c>
      <c r="C8" s="18">
        <f>C6*C7</f>
        <v>1608608081.228367</v>
      </c>
      <c r="D8" s="18">
        <f>D6*D7</f>
        <v>1696292520.393097</v>
      </c>
      <c r="E8" s="18">
        <f>E6*E7</f>
        <v>1781605629.4167147</v>
      </c>
      <c r="F8" s="18">
        <f>F6*F7</f>
        <v>1863698848.7995288</v>
      </c>
      <c r="G8" s="18">
        <f>G6*G7</f>
        <v>1941718086.2076972</v>
      </c>
      <c r="H8" s="18">
        <f>H6*H7</f>
        <v>2014817817.0792778</v>
      </c>
      <c r="I8" s="18">
        <f>I6*I7</f>
        <v>2082175773.2540169</v>
      </c>
      <c r="J8" s="18">
        <f>J6*J7</f>
        <v>2143007880.1475248</v>
      </c>
      <c r="K8" s="18">
        <f>K6*K7</f>
        <v>2196583077.1512127</v>
      </c>
    </row>
    <row r="9" spans="1:11" x14ac:dyDescent="0.25">
      <c r="A9" t="s">
        <v>52</v>
      </c>
      <c r="B9" s="18">
        <f>B8*(1-Assumptions!B8)</f>
        <v>1468788644.2096546</v>
      </c>
      <c r="C9" s="18">
        <f>C8*(1-Assumptions!B8)</f>
        <v>1555043484.8669808</v>
      </c>
      <c r="D9" s="18">
        <f>D8*(1-Assumptions!B8)</f>
        <v>1639808144.1015694</v>
      </c>
      <c r="E9" s="18">
        <f>E8*(1-Assumptions!B8)</f>
        <v>1722280435.4626927</v>
      </c>
      <c r="F9" s="18">
        <f>F8*(1-Assumptions!B8)</f>
        <v>1801640055.3991523</v>
      </c>
      <c r="G9" s="18">
        <f>G8*(1-Assumptions!B8)</f>
        <v>1877061351.7619166</v>
      </c>
      <c r="H9" s="18">
        <f>H8*(1-Assumptions!B8)</f>
        <v>1947726954.8779833</v>
      </c>
      <c r="I9" s="18">
        <f>I8*(1-Assumptions!B8)</f>
        <v>2012841977.067539</v>
      </c>
      <c r="J9" s="18">
        <f>J8*(1-Assumptions!B8)</f>
        <v>2071648452.4292972</v>
      </c>
      <c r="K9" s="18">
        <f>K8*(1-Assumptions!B8)</f>
        <v>2123439663.7400293</v>
      </c>
    </row>
    <row r="10" spans="1:11" x14ac:dyDescent="0.25">
      <c r="A10" t="s">
        <v>53</v>
      </c>
      <c r="B10" s="18">
        <f>B6*Assumptions!B9</f>
        <v>1229346394.2057595</v>
      </c>
      <c r="C10" s="18">
        <f>C6*Assumptions!B9</f>
        <v>1301539951.6402495</v>
      </c>
      <c r="D10" s="18">
        <f>D6*Assumptions!B9</f>
        <v>1372486257.3574984</v>
      </c>
      <c r="E10" s="18">
        <f>E6*Assumptions!B9</f>
        <v>1441513897.519599</v>
      </c>
      <c r="F10" s="18">
        <f>F6*Assumptions!B9</f>
        <v>1507936294.6419044</v>
      </c>
      <c r="G10" s="18">
        <f>G6*Assumptions!B9</f>
        <v>1571062394.571537</v>
      </c>
      <c r="H10" s="18">
        <f>H6*Assumptions!B9</f>
        <v>1630208075.4205723</v>
      </c>
      <c r="I10" s="18">
        <f>I6*Assumptions!B9</f>
        <v>1684708032.2747676</v>
      </c>
      <c r="J10" s="18">
        <f>J6*Assumptions!B9</f>
        <v>1733927863.001896</v>
      </c>
      <c r="K10" s="18">
        <f>K6*Assumptions!B9</f>
        <v>1777276059.5769432</v>
      </c>
    </row>
    <row r="11" spans="1:11" x14ac:dyDescent="0.25">
      <c r="A11" t="s">
        <v>54</v>
      </c>
      <c r="B11" s="18">
        <f>-B6*B19</f>
        <v>-2621991832.8333755</v>
      </c>
      <c r="C11" s="18">
        <f>-C6*C19</f>
        <v>-2674159280.259904</v>
      </c>
      <c r="D11" s="18">
        <f>-D6*D19</f>
        <v>-2712567382.4707584</v>
      </c>
      <c r="E11" s="18">
        <f>-E6*E19</f>
        <v>-2736234372.3915396</v>
      </c>
      <c r="F11" s="18">
        <f>-F6*F19</f>
        <v>-2744360964.04485</v>
      </c>
      <c r="G11" s="18">
        <f>-G6*G19</f>
        <v>-2736354896.977909</v>
      </c>
      <c r="H11" s="18">
        <f>-H6*H19</f>
        <v>-2711851665.902719</v>
      </c>
      <c r="I11" s="18">
        <f>-I6*I19</f>
        <v>-2670730649.9758167</v>
      </c>
      <c r="J11" s="18">
        <f>-J6*J19</f>
        <v>-2613125967.2518997</v>
      </c>
      <c r="K11" s="18">
        <f>-K6*K19</f>
        <v>-2539431521.859513</v>
      </c>
    </row>
    <row r="12" spans="1:11" x14ac:dyDescent="0.25">
      <c r="A12" t="s">
        <v>55</v>
      </c>
      <c r="B12" s="18">
        <f>-(B6-Assumptions!B29)*Assumptions!B11</f>
        <v>-10498681.316244554</v>
      </c>
      <c r="C12" s="18">
        <f>-(C6-B6)*Assumptions!B11</f>
        <v>-11181972.46934377</v>
      </c>
      <c r="D12" s="18">
        <f>-(D6-C6)*Assumptions!B11</f>
        <v>-10988787.165001549</v>
      </c>
      <c r="E12" s="18">
        <f>-(E6-D6)*Assumptions!B11</f>
        <v>-10691607.386390205</v>
      </c>
      <c r="F12" s="18">
        <f>-(F6-E6)*Assumptions!B11</f>
        <v>-10288084.454674674</v>
      </c>
      <c r="G12" s="18">
        <f>-(G6-F6)*Assumptions!B11</f>
        <v>-9777524.98414727</v>
      </c>
      <c r="H12" s="18">
        <f>-(H6-G6)*Assumptions!B11</f>
        <v>-9161002.70491097</v>
      </c>
      <c r="I12" s="18">
        <f>-(I6-H6)*Assumptions!B11</f>
        <v>-8441432.155175831</v>
      </c>
      <c r="J12" s="18">
        <f>-(J6-I6)*Assumptions!B11</f>
        <v>-7623599.829332857</v>
      </c>
      <c r="K12" s="18">
        <f>-(K6-J6)*Assumptions!B11</f>
        <v>-6714149.543575597</v>
      </c>
    </row>
    <row r="13" spans="1:11" x14ac:dyDescent="0.25">
      <c r="A13" s="19" t="s">
        <v>56</v>
      </c>
      <c r="B13" s="20">
        <f>B9+B10+B11+B12</f>
        <v>65644524.265793845</v>
      </c>
      <c r="C13" s="20">
        <f>C9+C10+C11+C12</f>
        <v>171242183.7779826</v>
      </c>
      <c r="D13" s="20">
        <f>D9+D10+D11+D12</f>
        <v>288738231.8233078</v>
      </c>
      <c r="E13" s="20">
        <f>E9+E10+E11+E12</f>
        <v>416868353.2043619</v>
      </c>
      <c r="F13" s="20">
        <f>F9+F10+F11+F12</f>
        <v>554927301.541532</v>
      </c>
      <c r="G13" s="20">
        <f>G9+G10+G11+G12</f>
        <v>701991324.3713973</v>
      </c>
      <c r="H13" s="20">
        <f>H9+H10+H11+H12</f>
        <v>856922361.6909254</v>
      </c>
      <c r="I13" s="20">
        <f>I9+I10+I11+I12</f>
        <v>1018377927.2113141</v>
      </c>
      <c r="J13" s="20">
        <f>J9+J10+J11+J12</f>
        <v>1184826748.3499608</v>
      </c>
      <c r="K13" s="20">
        <f>K9+K10+K11+K12</f>
        <v>1354570051.9138844</v>
      </c>
    </row>
    <row r="14" spans="1:11" x14ac:dyDescent="0.25">
      <c r="A14" t="s">
        <v>57</v>
      </c>
      <c r="B14" s="21">
        <f>1/(1+Assumptions!$B$26)^(1-0.5*Assumptions!$B$32)</f>
        <v>0.9668935337898886</v>
      </c>
      <c r="C14" s="21">
        <f>1/(1+Assumptions!$B$26)^(2-0.5*Assumptions!$B$32)</f>
        <v>0.9039324297359443</v>
      </c>
      <c r="D14" s="21">
        <f>1/(1+Assumptions!$B$26)^(3-0.5*Assumptions!$B$32)</f>
        <v>0.8450711572406553</v>
      </c>
      <c r="E14" s="21">
        <f>1/(1+Assumptions!$B$26)^(4-0.5*Assumptions!$B$32)</f>
        <v>0.7900427480057062</v>
      </c>
      <c r="F14" s="21">
        <f>1/(1+Assumptions!$B$26)^(5-0.5*Assumptions!$B$32)</f>
        <v>0.7385976178792483</v>
      </c>
      <c r="G14" s="21">
        <f>1/(1+Assumptions!$B$26)^(6-0.5*Assumptions!$B$32)</f>
        <v>0.6905024348542721</v>
      </c>
      <c r="H14" s="21">
        <f>1/(1+Assumptions!$B$26)^(7-0.5*Assumptions!$B$32)</f>
        <v>0.6455390607794081</v>
      </c>
      <c r="I14" s="21">
        <f>1/(1+Assumptions!$B$26)^(8-0.5*Assumptions!$B$32)</f>
        <v>0.6035035619822366</v>
      </c>
      <c r="J14" s="21">
        <f>1/(1+Assumptions!$B$26)^(9-0.5*Assumptions!$B$32)</f>
        <v>0.5642052843177314</v>
      </c>
      <c r="K14" s="21">
        <f>1/(1+Assumptions!$B$26)^(10-0.5*Assumptions!$B$32)</f>
        <v>0.5274659884466791</v>
      </c>
    </row>
    <row r="15" spans="1:11" x14ac:dyDescent="0.25">
      <c r="A15" s="19" t="s">
        <v>58</v>
      </c>
      <c r="B15" s="20">
        <f>B13*B14</f>
        <v>63471266.041309506</v>
      </c>
      <c r="C15" s="20">
        <f>C13*C14</f>
        <v>154791363.2557209</v>
      </c>
      <c r="D15" s="20">
        <f>D13*D14</f>
        <v>244004351.70654333</v>
      </c>
      <c r="E15" s="20">
        <f>E13*E14</f>
        <v>329343819.3221874</v>
      </c>
      <c r="F15" s="20">
        <f>F13*F14</f>
        <v>409867983.01473486</v>
      </c>
      <c r="G15" s="20">
        <f>G13*G14</f>
        <v>484726718.72502494</v>
      </c>
      <c r="H15" s="20">
        <f>H13*H14</f>
        <v>553176856.5268322</v>
      </c>
      <c r="I15" s="20">
        <f>I13*I14</f>
        <v>614594706.516115</v>
      </c>
      <c r="J15" s="20">
        <f>J13*J14</f>
        <v>668485512.4200429</v>
      </c>
      <c r="K15" s="20">
        <f>K13*K14</f>
        <v>714489631.3530265</v>
      </c>
    </row>
    <row r="17" spans="1:2" x14ac:dyDescent="0.25">
      <c r="A17" s="22" t="s">
        <v>59</v>
      </c>
      <c r="B17" s="23">
        <f>SUM(B15:K15)</f>
        <v>4236952208.8815374</v>
      </c>
    </row>
    <row r="19" spans="1:11" x14ac:dyDescent="0.25">
      <c r="A19" t="s">
        <v>7</v>
      </c>
      <c r="B19" s="9">
        <f>Assumptions!$B$10+($B$20-Assumptions!$B$10)*0/9</f>
        <v>0.4155635976308204</v>
      </c>
      <c r="C19" s="9">
        <f>Assumptions!$B$10+($B$20-Assumptions!$B$10)*1/9</f>
        <v>0.4003226864145568</v>
      </c>
      <c r="D19" s="9">
        <f>Assumptions!$B$10+($B$20-Assumptions!$B$10)*2/9</f>
        <v>0.3850817751982932</v>
      </c>
      <c r="E19" s="9">
        <f>Assumptions!$B$10+($B$20-Assumptions!$B$10)*3/9</f>
        <v>0.3698408639820296</v>
      </c>
      <c r="F19" s="9">
        <f>Assumptions!$B$10+($B$20-Assumptions!$B$10)*4/9</f>
        <v>0.35459995276576595</v>
      </c>
      <c r="G19" s="9">
        <f>Assumptions!$B$10+($B$20-Assumptions!$B$10)*5/9</f>
        <v>0.33935904154950236</v>
      </c>
      <c r="H19" s="9">
        <f>Assumptions!$B$10+($B$20-Assumptions!$B$10)*6/9</f>
        <v>0.3241181303332388</v>
      </c>
      <c r="I19" s="9">
        <f>Assumptions!$B$10+($B$20-Assumptions!$B$10)*7/9</f>
        <v>0.30887721911697513</v>
      </c>
      <c r="J19" s="9">
        <f>Assumptions!$B$10+($B$20-Assumptions!$B$10)*8/9</f>
        <v>0.2936363079007115</v>
      </c>
      <c r="K19" s="9">
        <f>Assumptions!$B$10+($B$20-Assumptions!$B$10)*9/9</f>
        <v>0.2783953966844479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0.2783953966844479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1354570051.9138844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2123439663.7400293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0.3589249439469261</v>
      </c>
    </row>
    <row r="7" spans="1:2" x14ac:dyDescent="0.25">
      <c r="A7" t="s">
        <v>66</v>
      </c>
      <c r="B7" s="18">
        <f>-MAX(B5,0)*B6</f>
        <v>-762155462.2825696</v>
      </c>
    </row>
    <row r="8" spans="1:2" x14ac:dyDescent="0.25">
      <c r="A8" t="s">
        <v>67</v>
      </c>
      <c r="B8" s="18">
        <f>IF(OR(Assumptions!$B$33=0,Assumptions!B12&lt;=0),B5,MAX(B5+B7,0))</f>
        <v>1361284201.4574597</v>
      </c>
    </row>
    <row r="9" spans="1:2" x14ac:dyDescent="0.25">
      <c r="A9" t="s">
        <v>68</v>
      </c>
      <c r="B9" s="18">
        <f>B8*(1+Assumptions!B12)/(Assumptions!B26-Assumptions!B12)</f>
        <v>31248373953.585346</v>
      </c>
    </row>
    <row r="10" spans="1:2" x14ac:dyDescent="0.25">
      <c r="A10" t="s">
        <v>69</v>
      </c>
      <c r="B10" s="18">
        <f>B9/(1+Assumptions!B26)^(10-0.5*Assumptions!B32)</f>
        <v>16482454454.779358</v>
      </c>
    </row>
    <row r="11" spans="1:2" x14ac:dyDescent="0.25">
      <c r="A11" t="s">
        <v>70</v>
      </c>
      <c r="B11" s="18">
        <f>Forecast!B17+B10</f>
        <v>20719406663.660896</v>
      </c>
    </row>
    <row r="12" spans="1:2" x14ac:dyDescent="0.25">
      <c r="A12" t="s">
        <v>71</v>
      </c>
      <c r="B12" s="18">
        <f>-Assumptions!B30</f>
        <v>-15182400000</v>
      </c>
    </row>
    <row r="13" spans="1:2" x14ac:dyDescent="0.25">
      <c r="A13" t="s">
        <v>72</v>
      </c>
      <c r="B13" s="18">
        <f>B11+B12</f>
        <v>5537006663.660896</v>
      </c>
    </row>
    <row r="14" spans="1:2" x14ac:dyDescent="0.25">
      <c r="A14" s="19" t="s">
        <v>73</v>
      </c>
      <c r="B14" s="24">
        <f>B13/Assumptions!B31</f>
        <v>23.70293948484973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3973859136.728156</v>
      </c>
    </row>
    <row r="18" spans="1:2" x14ac:dyDescent="0.25">
      <c r="A18" t="s">
        <v>68</v>
      </c>
      <c r="B18" s="18">
        <f>B17*Assumptions!B13</f>
        <v>50550834685.26503</v>
      </c>
    </row>
    <row r="19" spans="1:2" x14ac:dyDescent="0.25">
      <c r="A19" t="s">
        <v>69</v>
      </c>
      <c r="B19" s="18">
        <f>B18/(1+Assumptions!B26)^(10-0.5*Assumptions!B32)</f>
        <v>26663845984.06799</v>
      </c>
    </row>
    <row r="20" spans="1:2" x14ac:dyDescent="0.25">
      <c r="A20" t="s">
        <v>70</v>
      </c>
      <c r="B20" s="18">
        <f>Forecast!B17+B19</f>
        <v>30900798192.949528</v>
      </c>
    </row>
    <row r="21" spans="1:2" x14ac:dyDescent="0.25">
      <c r="A21" t="s">
        <v>71</v>
      </c>
      <c r="B21" s="18">
        <f>-Assumptions!B30</f>
        <v>-15182400000</v>
      </c>
    </row>
    <row r="22" spans="1:2" x14ac:dyDescent="0.25">
      <c r="A22" t="s">
        <v>72</v>
      </c>
      <c r="B22" s="18">
        <f>B20+B21</f>
        <v>15718398192.949528</v>
      </c>
    </row>
    <row r="23" spans="1:2" x14ac:dyDescent="0.25">
      <c r="A23" s="19" t="s">
        <v>73</v>
      </c>
      <c r="B23" s="25">
        <f>B22/Assumptions!B31</f>
        <v>67.28766349721545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85.93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23.70293948484973</v>
      </c>
    </row>
    <row r="29" spans="1:2" x14ac:dyDescent="0.25">
      <c r="A29" s="19" t="s">
        <v>81</v>
      </c>
      <c r="B29" s="11">
        <f>B28/B26-1</f>
        <v>-0.7241599035860615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0.049652</v>
      </c>
      <c r="B5" s="31">
        <v>83.42382324593936</v>
      </c>
      <c r="C5" s="31">
        <v>85.73113829145471</v>
      </c>
      <c r="D5" s="31">
        <v>89.81702988660538</v>
      </c>
      <c r="E5" s="31">
        <v>97.03905188059419</v>
      </c>
      <c r="F5" s="31">
        <v>110.6078209798483</v>
      </c>
    </row>
    <row r="6" spans="1:6" x14ac:dyDescent="0.25">
      <c r="A6" s="30">
        <v>0.059652</v>
      </c>
      <c r="B6" s="31">
        <v>46.499284703748785</v>
      </c>
      <c r="C6" s="31">
        <v>44.58045652293272</v>
      </c>
      <c r="D6" s="31">
        <v>42.661628342116614</v>
      </c>
      <c r="E6" s="31">
        <v>40.74280016130056</v>
      </c>
      <c r="F6" s="31">
        <v>38.82397198048443</v>
      </c>
    </row>
    <row r="7" spans="1:6" x14ac:dyDescent="0.25">
      <c r="A7" s="30">
        <v>0.069652</v>
      </c>
      <c r="B7" s="31">
        <v>26.80811939039477</v>
      </c>
      <c r="C7" s="31">
        <v>25.2558883924198</v>
      </c>
      <c r="D7" s="32">
        <v>23.703657394444797</v>
      </c>
      <c r="E7" s="31">
        <v>22.15142639646984</v>
      </c>
      <c r="F7" s="31">
        <v>20.59919539849484</v>
      </c>
    </row>
    <row r="8" spans="1:6" x14ac:dyDescent="0.25">
      <c r="A8" s="30">
        <v>0.079652</v>
      </c>
      <c r="B8" s="31">
        <v>12.262463108534716</v>
      </c>
      <c r="C8" s="31">
        <v>10.97923781460223</v>
      </c>
      <c r="D8" s="31">
        <v>9.696012520669747</v>
      </c>
      <c r="E8" s="31">
        <v>8.412787226737281</v>
      </c>
      <c r="F8" s="31">
        <v>7.129561932804805</v>
      </c>
    </row>
    <row r="9" spans="1:6" x14ac:dyDescent="0.25">
      <c r="A9" s="30">
        <v>0.089652</v>
      </c>
      <c r="B9" s="31">
        <v>1.1268694147884193</v>
      </c>
      <c r="C9" s="31">
        <v>0.04811386516004393</v>
      </c>
      <c r="D9" s="31">
        <v>-1.0306416844683477</v>
      </c>
      <c r="E9" s="31">
        <v>-2.1093972340967313</v>
      </c>
      <c r="F9" s="31">
        <v>-3.1881527837251227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5961600000</v>
      </c>
      <c r="C5" s="18">
        <v>5847300000</v>
      </c>
      <c r="D5" s="18">
        <v>5508200000</v>
      </c>
      <c r="E5" s="18">
        <v>5859100000</v>
      </c>
      <c r="F5" s="6" t="s">
        <v>91</v>
      </c>
    </row>
    <row r="6" spans="1:6" x14ac:dyDescent="0.25">
      <c r="A6" t="s">
        <v>51</v>
      </c>
      <c r="B6" s="18">
        <v>1532900000</v>
      </c>
      <c r="C6" s="18">
        <v>1468000000</v>
      </c>
      <c r="D6" s="18">
        <v>1282400000</v>
      </c>
      <c r="E6" s="18">
        <v>1302100000</v>
      </c>
      <c r="F6" s="6" t="s">
        <v>92</v>
      </c>
    </row>
    <row r="7" spans="1:6" x14ac:dyDescent="0.25">
      <c r="A7" t="s">
        <v>93</v>
      </c>
      <c r="B7" s="18">
        <v>1218100000</v>
      </c>
      <c r="C7" s="18">
        <v>1170500000</v>
      </c>
      <c r="D7" s="18">
        <v>1138900000</v>
      </c>
      <c r="E7" s="18">
        <v>984900000</v>
      </c>
      <c r="F7" s="6" t="s">
        <v>94</v>
      </c>
    </row>
    <row r="8" spans="1:6" x14ac:dyDescent="0.25">
      <c r="A8" t="s">
        <v>95</v>
      </c>
      <c r="B8" s="18">
        <v>2796900000</v>
      </c>
      <c r="C8" s="18">
        <v>2336600000</v>
      </c>
      <c r="D8" s="18">
        <v>2334000000</v>
      </c>
      <c r="E8" s="18">
        <v>2166500000</v>
      </c>
      <c r="F8" s="6" t="s">
        <v>96</v>
      </c>
    </row>
    <row r="9" spans="1:6" x14ac:dyDescent="0.25">
      <c r="A9" t="s">
        <v>97</v>
      </c>
      <c r="B9" s="18">
        <v>119300000</v>
      </c>
      <c r="C9" s="18">
        <v>62200000</v>
      </c>
      <c r="D9" s="18">
        <v>-121800000</v>
      </c>
      <c r="E9" s="18">
        <v>8600000</v>
      </c>
      <c r="F9" s="6" t="s">
        <v>98</v>
      </c>
    </row>
    <row r="10" spans="1:6" x14ac:dyDescent="0.25">
      <c r="A10" t="s">
        <v>99</v>
      </c>
      <c r="B10" s="18">
        <v>15202200000</v>
      </c>
      <c r="C10" s="18">
        <v>14069500000</v>
      </c>
      <c r="D10" s="18">
        <v>13147100000</v>
      </c>
      <c r="E10" s="18">
        <v>12036100000</v>
      </c>
      <c r="F10" s="6" t="s">
        <v>100</v>
      </c>
    </row>
    <row r="11" spans="1:6" x14ac:dyDescent="0.25">
      <c r="A11" t="s">
        <v>101</v>
      </c>
      <c r="B11" s="18">
        <v>19800000</v>
      </c>
      <c r="C11" s="18">
        <v>22000000</v>
      </c>
      <c r="D11" s="18">
        <v>27700000</v>
      </c>
      <c r="E11" s="18">
        <v>25200000</v>
      </c>
      <c r="F11" s="6" t="s">
        <v>102</v>
      </c>
    </row>
    <row r="12" spans="1:6" x14ac:dyDescent="0.25">
      <c r="A12" t="s">
        <v>34</v>
      </c>
      <c r="B12" s="34">
        <v>233600000</v>
      </c>
      <c r="C12" s="34">
        <v>230600000</v>
      </c>
      <c r="D12" s="34">
        <v>230500000</v>
      </c>
      <c r="E12" s="34">
        <v>230300000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