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<sst xmlns="http://schemas.openxmlformats.org/spreadsheetml/2006/main" count="113" uniqueCount="101">
  <si>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Evergy, Inc. (EVRG)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</si>
  <si>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</si>
  <si>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</si>
  <si>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</si>
  <si>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</si>
  <si>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</si>
  <si>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</si>
  <si>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</si>
  <si>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</si>
  <si>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</si>
  <si>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</si>
  <si>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</si>
  <si>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</si>
  <si>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</si>
  <si>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</si>
  <si>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</si>
  <si>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</si>
  <si>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</si>
  <si>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</si>
  <si>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</si>
  <si>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</si>
  <si>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</si>
  <si>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</si>
  <si>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</si>
  <si>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</si>
  <si>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</si>
  <si>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</si>
  <si>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</si>
  <si>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</si>
  <si>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</si>
  <si>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</si>
  <si>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</si>
  <si>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</si>
  <si>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</si>
  <si>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</si>
  <si>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</si>
  <si>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</si>
  <si>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</si>
  <si>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</si>
  <si>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</si>
  <si>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</si>
  <si>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</si>
  <si>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</si>
  <si>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</si>
  <si>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</si>
  <si>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</si>
  <si>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</si>
  <si>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</si>
  <si>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</si>
  <si>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</si>
  <si>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</si>
  <si>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</si>
  <si>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</si>
  <si>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</si>
  <si>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</si>
  <si>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</si>
  <si>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</si>
  <si>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</si>
  <si>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</si>
  <si>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</si>
  <si>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</si>
  <si>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</si>
  <si>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</si>
  <si>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</si>
  <si>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</si>
  <si>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</si>
  <si>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</si>
  <si>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</si>
  <si>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</si>
  <si>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</si>
  <si>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</si>
  <si>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</si>
  <si>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</si>
  <si>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</si>
  <si>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</si>
  <si>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</si>
  <si>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</si>
  <si>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</si>
  <si>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</si>
  <si>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</si>
  <si>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</si>
  <si>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</si>
  <si>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</si>
  <si>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</si>
  <si>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</si>
  <si>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</si>
  <si>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</si>
  <si>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</si>
  <si>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</si>
  <si>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</si>
  <si>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</si>
  <si>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</si>
  <si>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</si>
  <si>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</si>
  <si>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</si>
  <si>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</si>
  <si>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</si>
  <si>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</si>
  <si>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3.5%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</si>
  <si>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41.6% of revenue against depreciation of 19.5%.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</si>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</sst>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0.005797706437296046</v>
      </c>
    </row>
    <row r="7" spans="1:2" x14ac:dyDescent="0.25">
      <c r="A7" t="s">
        <v>5</v>
      </c>
      <c r="B7" s="6">
        <v>0.2408092566583836</v>
      </c>
    </row>
    <row r="8" spans="1:2" x14ac:dyDescent="0.25">
      <c r="A8" t="s">
        <v>6</v>
      </c>
      <c r="B8" s="6">
        <v>0.0332987239007797</v>
      </c>
    </row>
    <row r="9" spans="1:2" x14ac:dyDescent="0.25">
      <c r="A9" t="s">
        <v>7</v>
      </c>
      <c r="B9" s="6">
        <v>0.1948410379900247</v>
      </c>
    </row>
    <row r="10" spans="1:2" x14ac:dyDescent="0.25">
      <c r="A10" t="s">
        <v>8</v>
      </c>
      <c r="B10" s="6">
        <v>0.4155635976308204</v>
      </c>
    </row>
    <row r="11" spans="1:2" x14ac:dyDescent="0.25">
      <c r="A11" t="s">
        <v>9</v>
      </c>
      <c r="B11" s="6">
        <v>0.34710743801652894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12.205397519447473</v>
      </c>
    </row>
    <row r="14" spans="1:3" x14ac:dyDescent="0.25">
      <c r="A14" t="s">
        <v>12</v>
      </c>
      <c r="B14" s="6">
        <v>0.06945391373451075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0.6717</v>
      </c>
      <c r="C19" s="8" t="s">
        <v>19</v>
      </c>
    </row>
    <row r="20" spans="1:2" x14ac:dyDescent="0.25">
      <c r="A20" t="s">
        <v>20</v>
      </c>
      <c r="B20" s="10">
        <f>B17+B19*B18</f>
        <v>0.0869235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18394648576</v>
      </c>
    </row>
    <row r="23" spans="1:2" x14ac:dyDescent="0.25">
      <c r="A23" t="s">
        <v>24</v>
      </c>
      <c r="B23" s="11">
        <v>15202200000</v>
      </c>
    </row>
    <row r="24" spans="1:2" x14ac:dyDescent="0.25">
      <c r="A24" t="s">
        <v>25</v>
      </c>
      <c r="B24" s="10">
        <f>B22/(B22+B23)</f>
        <v>0.5475111314202329</v>
      </c>
    </row>
    <row r="25" spans="1:2" x14ac:dyDescent="0.25">
      <c r="A25" t="s">
        <v>26</v>
      </c>
      <c r="B25" s="10">
        <f>1-B24</f>
        <v>0.4524888685797671</v>
      </c>
    </row>
    <row r="26" spans="1:2" x14ac:dyDescent="0.25">
      <c r="A26" t="s">
        <v>27</v>
      </c>
      <c r="B26" s="12">
        <f>B24*B20+B25*B21*(1-B8)</f>
        <v>0.06945391373451075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5961600000</v>
      </c>
      <c r="C29" s="8" t="s">
        <v>30</v>
      </c>
    </row>
    <row r="30" spans="1:2" x14ac:dyDescent="0.25">
      <c r="A30" t="s">
        <v>31</v>
      </c>
      <c r="B30" s="11">
        <v>15182400000</v>
      </c>
    </row>
    <row r="31" spans="1:2" x14ac:dyDescent="0.25">
      <c r="A31" t="s">
        <v>32</v>
      </c>
      <c r="B31" s="13">
        <v>233600000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0.005797706437296046</v>
      </c>
      <c r="C5" s="10">
        <f>Assumptions!B6</f>
        <v>0.005797706437296046</v>
      </c>
      <c r="D5" s="10">
        <f>Assumptions!B6</f>
        <v>0.005797706437296046</v>
      </c>
      <c r="E5" s="10">
        <f>Assumptions!B6</f>
        <v>0.005797706437296046</v>
      </c>
      <c r="F5" s="10">
        <f>Assumptions!B6</f>
        <v>0.005797706437296046</v>
      </c>
    </row>
    <row r="6" spans="1:6" x14ac:dyDescent="0.25">
      <c r="A6" t="s">
        <v>43</v>
      </c>
      <c r="B6" s="18">
        <f>Assumptions!B29*(1+B5)</f>
        <v>5996163606.696584</v>
      </c>
      <c r="C6" s="18">
        <f>B6*(1+C5)</f>
        <v>6030927603.038209</v>
      </c>
      <c r="D6" s="18">
        <f>C6*(1+D5)</f>
        <v>6065893150.82521</v>
      </c>
      <c r="E6" s="18">
        <f>D6*(1+E5)</f>
        <v>6101061418.5936985</v>
      </c>
      <c r="F6" s="18">
        <f>E6*(1+F5)</f>
        <v>6136433581.654617</v>
      </c>
    </row>
    <row r="7" spans="1:6" x14ac:dyDescent="0.25">
      <c r="A7" t="s">
        <v>5</v>
      </c>
      <c r="B7" s="10">
        <f>Assumptions!B7</f>
        <v>0.2408092566583836</v>
      </c>
      <c r="C7" s="10">
        <f>Assumptions!B7</f>
        <v>0.2408092566583836</v>
      </c>
      <c r="D7" s="10">
        <f>Assumptions!B7</f>
        <v>0.2408092566583836</v>
      </c>
      <c r="E7" s="10">
        <f>Assumptions!B7</f>
        <v>0.2408092566583836</v>
      </c>
      <c r="F7" s="10">
        <f>Assumptions!B7</f>
        <v>0.2408092566583836</v>
      </c>
    </row>
    <row r="8" spans="1:6" x14ac:dyDescent="0.25">
      <c r="A8" t="s">
        <v>44</v>
      </c>
      <c r="B8" s="18">
        <f>B6*B7</f>
        <v>1443931700.9306567</v>
      </c>
      <c r="C8" s="18">
        <f>C6*C7</f>
        <v>1452303193.0481582</v>
      </c>
      <c r="D8" s="18">
        <f>D6*D7</f>
        <v>1460723220.619399</v>
      </c>
      <c r="E8" s="18">
        <f>E6*E7</f>
        <v>1469192065.0386918</v>
      </c>
      <c r="F8" s="18">
        <f>F6*F7</f>
        <v>1477710009.331791</v>
      </c>
    </row>
    <row r="9" spans="1:6" x14ac:dyDescent="0.25">
      <c r="A9" t="s">
        <v>45</v>
      </c>
      <c r="B9" s="18">
        <f>B8*(1-Assumptions!B8)</f>
        <v>1395850617.8897836</v>
      </c>
      <c r="C9" s="18">
        <f>C8*(1-Assumptions!B8)</f>
        <v>1403943350.002627</v>
      </c>
      <c r="D9" s="18">
        <f>D8*(1-Assumptions!B8)</f>
        <v>1412083001.400536</v>
      </c>
      <c r="E9" s="18">
        <f>E8*(1-Assumptions!B8)</f>
        <v>1420269844.107752</v>
      </c>
      <c r="F9" s="18">
        <f>F8*(1-Assumptions!B8)</f>
        <v>1428504151.725633</v>
      </c>
    </row>
    <row r="10" spans="1:6" x14ac:dyDescent="0.25">
      <c r="A10" t="s">
        <v>46</v>
      </c>
      <c r="B10" s="18">
        <f>B6*Assumptions!B9</f>
        <v>1168298741.0867727</v>
      </c>
      <c r="C10" s="18">
        <f>C6*Assumptions!B9</f>
        <v>1175072194.2186563</v>
      </c>
      <c r="D10" s="18">
        <f>D6*Assumptions!B9</f>
        <v>1181884917.8433652</v>
      </c>
      <c r="E10" s="18">
        <f>E6*Assumptions!B9</f>
        <v>1188737139.6396887</v>
      </c>
      <c r="F10" s="18">
        <f>F6*Assumptions!B9</f>
        <v>1195629088.6064305</v>
      </c>
    </row>
    <row r="11" spans="1:6" x14ac:dyDescent="0.25">
      <c r="A11" t="s">
        <v>47</v>
      </c>
      <c r="B11" s="18">
        <f>-B6*Assumptions!B10</f>
        <v>-2491787320.381828</v>
      </c>
      <c r="C11" s="18">
        <f>-C6*Assumptions!B10</f>
        <v>-2506233971.7695785</v>
      </c>
      <c r="D11" s="18">
        <f>-D6*Assumptions!B10</f>
        <v>-2520764380.6010766</v>
      </c>
      <c r="E11" s="18">
        <f>-E6*Assumptions!B10</f>
        <v>-2535379032.477394</v>
      </c>
      <c r="F11" s="18">
        <f>-F6*Assumptions!B10</f>
        <v>-2550078415.8149734</v>
      </c>
    </row>
    <row r="12" spans="1:6" x14ac:dyDescent="0.25">
      <c r="A12" t="s">
        <v>48</v>
      </c>
      <c r="B12" s="18">
        <f>-(B6-Assumptions!B29)*Assumptions!B11</f>
        <v>-11997284.969062127</v>
      </c>
      <c r="C12" s="18">
        <f>-(C6-B6)*Assumptions!B11</f>
        <v>-12066841.705357512</v>
      </c>
      <c r="D12" s="18">
        <f>-(D6-C6)*Assumptions!B11</f>
        <v>-12136801.711190311</v>
      </c>
      <c r="E12" s="18">
        <f>-(E6-D6)*Assumptions!B11</f>
        <v>-12207167.324599449</v>
      </c>
      <c r="F12" s="18">
        <f>-(F6-E6)*Assumptions!B11</f>
        <v>-12277940.89717843</v>
      </c>
    </row>
    <row r="13" spans="1:6" x14ac:dyDescent="0.25">
      <c r="A13" s="19" t="s">
        <v>49</v>
      </c>
      <c r="B13" s="20">
        <f>B9+B10+B11+B12</f>
        <v>60364753.62566634</v>
      </c>
      <c r="C13" s="20">
        <f>C9+C10+C11+C12</f>
        <v>60714730.74634699</v>
      </c>
      <c r="D13" s="20">
        <f>D9+D10+D11+D12</f>
        <v>61066736.93163434</v>
      </c>
      <c r="E13" s="20">
        <f>E9+E10+E11+E12</f>
        <v>61420783.945447266</v>
      </c>
      <c r="F13" s="20">
        <f>F9+F10+F11+F12</f>
        <v>61776883.619911894</v>
      </c>
    </row>
    <row r="14" spans="1:6" x14ac:dyDescent="0.25">
      <c r="A14" t="s">
        <v>50</v>
      </c>
      <c r="B14" s="21">
        <f>1/(1+Assumptions!$B$26)^(1-0.5*Assumptions!$B$32)</f>
        <v>0.9669832758110419</v>
      </c>
      <c r="C14" s="21">
        <f>1/(1+Assumptions!$B$26)^(2-0.5*Assumptions!$B$32)</f>
        <v>0.9041841479960147</v>
      </c>
      <c r="D14" s="21">
        <f>1/(1+Assumptions!$B$26)^(3-0.5*Assumptions!$B$32)</f>
        <v>0.8454634055605281</v>
      </c>
      <c r="E14" s="21">
        <f>1/(1+Assumptions!$B$26)^(4-0.5*Assumptions!$B$32)</f>
        <v>0.7905561845186835</v>
      </c>
      <c r="F14" s="21">
        <f>1/(1+Assumptions!$B$26)^(5-0.5*Assumptions!$B$32)</f>
        <v>0.7392148220376116</v>
      </c>
    </row>
    <row r="15" spans="1:6" x14ac:dyDescent="0.25">
      <c r="A15" s="19" t="s">
        <v>51</v>
      </c>
      <c r="B15" s="20">
        <f>B13*B14</f>
        <v>58371707.20447331</v>
      </c>
      <c r="C15" s="20">
        <f>C13*C14</f>
        <v>54897297.09069318</v>
      </c>
      <c r="D15" s="20">
        <f>D13*D14</f>
        <v>51629691.37268844</v>
      </c>
      <c r="E15" s="20">
        <f>E13*E14</f>
        <v>48556580.6060592</v>
      </c>
      <c r="F15" s="20">
        <f>F13*F14</f>
        <v>45666388.03113141</v>
      </c>
    </row>
    <row r="17" spans="1:2" x14ac:dyDescent="0.25">
      <c r="A17" s="22" t="s">
        <v>52</v>
      </c>
      <c r="B17" s="23">
        <f>SUM(B15:F15)</f>
        <v>259121664.30504555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61776883.619911894</v>
      </c>
    </row>
    <row r="5" spans="1:2" x14ac:dyDescent="0.25">
      <c r="A5" t="s">
        <v>56</v>
      </c>
      <c r="B5" s="18">
        <f>IF(Assumptions!$B$33=0,B4,B4-Forecast!F11-Forecast!F10-Forecast!F12)</f>
        <v>1428504151.725633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0.3599509178930233</v>
      </c>
    </row>
    <row r="7" spans="1:2" x14ac:dyDescent="0.25">
      <c r="A7" t="s">
        <v>58</v>
      </c>
      <c r="B7" s="18">
        <f>-MAX(Forecast!F9,0)*B6</f>
        <v>-514191380.6276362</v>
      </c>
    </row>
    <row r="8" spans="1:2" x14ac:dyDescent="0.25">
      <c r="A8" t="s">
        <v>59</v>
      </c>
      <c r="B8" s="18">
        <f>IF(OR(Assumptions!$B$33=0,Assumptions!B12&lt;=0),B5,MAX(B5+B7,0))</f>
        <v>914312771.0979967</v>
      </c>
    </row>
    <row r="9" spans="1:2" x14ac:dyDescent="0.25">
      <c r="A9" t="s">
        <v>60</v>
      </c>
      <c r="B9" s="18">
        <f>B8*(1+Assumptions!B12)/(Assumptions!B26-Assumptions!B12)</f>
        <v>21081846605.733078</v>
      </c>
    </row>
    <row r="10" spans="1:2" x14ac:dyDescent="0.25">
      <c r="A10" t="s">
        <v>61</v>
      </c>
      <c r="B10" s="18">
        <f>B9/(1+Assumptions!B26)^(5-0.5*Assumptions!B32)</f>
        <v>15584013486.881203</v>
      </c>
    </row>
    <row r="11" spans="1:2" x14ac:dyDescent="0.25">
      <c r="A11" t="s">
        <v>62</v>
      </c>
      <c r="B11" s="18">
        <f>Forecast!B17+B10</f>
        <v>15843135151.186249</v>
      </c>
    </row>
    <row r="12" spans="1:2" x14ac:dyDescent="0.25">
      <c r="A12" t="s">
        <v>63</v>
      </c>
      <c r="B12" s="18">
        <f>-Assumptions!B30</f>
        <v>-15182400000</v>
      </c>
    </row>
    <row r="13" spans="1:2" x14ac:dyDescent="0.25">
      <c r="A13" t="s">
        <v>64</v>
      </c>
      <c r="B13" s="18">
        <f>B11+B12</f>
        <v>660735151.1862488</v>
      </c>
    </row>
    <row r="14" spans="1:2" x14ac:dyDescent="0.25">
      <c r="A14" s="19" t="s">
        <v>65</v>
      </c>
      <c r="B14" s="24">
        <f>B13/Assumptions!B31</f>
        <v>2.8284895170644213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2673339097.9382215</v>
      </c>
    </row>
    <row r="18" spans="1:2" x14ac:dyDescent="0.25">
      <c r="A18" t="s">
        <v>60</v>
      </c>
      <c r="B18" s="18">
        <f>B17*Assumptions!B13</f>
        <v>32629166394.617115</v>
      </c>
    </row>
    <row r="19" spans="1:2" x14ac:dyDescent="0.25">
      <c r="A19" t="s">
        <v>61</v>
      </c>
      <c r="B19" s="18">
        <f>B18/(1+Assumptions!B26)^(5-0.5*Assumptions!B32)</f>
        <v>24119963429.632507</v>
      </c>
    </row>
    <row r="20" spans="1:2" x14ac:dyDescent="0.25">
      <c r="A20" t="s">
        <v>62</v>
      </c>
      <c r="B20" s="18">
        <f>Forecast!B17+B19</f>
        <v>24379085093.937553</v>
      </c>
    </row>
    <row r="21" spans="1:2" x14ac:dyDescent="0.25">
      <c r="A21" t="s">
        <v>63</v>
      </c>
      <c r="B21" s="18">
        <f>-Assumptions!B30</f>
        <v>-15182400000</v>
      </c>
    </row>
    <row r="22" spans="1:2" x14ac:dyDescent="0.25">
      <c r="A22" t="s">
        <v>64</v>
      </c>
      <c r="B22" s="18">
        <f>B20+B21</f>
        <v>9196685093.937553</v>
      </c>
    </row>
    <row r="23" spans="1:2" x14ac:dyDescent="0.25">
      <c r="A23" s="19" t="s">
        <v>65</v>
      </c>
      <c r="B23" s="25">
        <f>B22/Assumptions!B31</f>
        <v>39.36937112130802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79.78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2.8284895170644213</v>
      </c>
    </row>
    <row r="29" spans="1:2" x14ac:dyDescent="0.25">
      <c r="A29" s="19" t="s">
        <v>73</v>
      </c>
      <c r="B29" s="12">
        <f>B28/B26-1</f>
        <v>-0.9645463835915715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0.049454</v>
      </c>
      <c r="B5" s="31">
        <v>43.9006923818448</v>
      </c>
      <c r="C5" s="31">
        <v>48.21622891512082</v>
      </c>
      <c r="D5" s="31">
        <v>54.124193430140295</v>
      </c>
      <c r="E5" s="31">
        <v>62.85242697379099</v>
      </c>
      <c r="F5" s="31">
        <v>77.32773426652864</v>
      </c>
    </row>
    <row r="6" spans="1:6" x14ac:dyDescent="0.25">
      <c r="A6" s="30">
        <v>0.059454</v>
      </c>
      <c r="B6" s="31">
        <v>16.64649859150625</v>
      </c>
      <c r="C6" s="31">
        <v>17.043076137935625</v>
      </c>
      <c r="D6" s="31">
        <v>17.439653684365</v>
      </c>
      <c r="E6" s="31">
        <v>17.836231230794372</v>
      </c>
      <c r="F6" s="31">
        <v>18.232808777223745</v>
      </c>
    </row>
    <row r="7" spans="1:6" x14ac:dyDescent="0.25">
      <c r="A7" s="30">
        <v>0.069454</v>
      </c>
      <c r="B7" s="31">
        <v>2.177530721982195</v>
      </c>
      <c r="C7" s="31">
        <v>2.5029564752812417</v>
      </c>
      <c r="D7" s="32">
        <v>2.828382228580264</v>
      </c>
      <c r="E7" s="31">
        <v>3.153807981879311</v>
      </c>
      <c r="F7" s="31">
        <v>3.4792337351783336</v>
      </c>
    </row>
    <row r="8" spans="1:6" x14ac:dyDescent="0.25">
      <c r="A8" s="30">
        <v>0.079454</v>
      </c>
      <c r="B8" s="31">
        <v>-8.529690359947894</v>
      </c>
      <c r="C8" s="31">
        <v>-8.256890415921408</v>
      </c>
      <c r="D8" s="31">
        <v>-7.9840904718949455</v>
      </c>
      <c r="E8" s="31">
        <v>-7.711290527868458</v>
      </c>
      <c r="F8" s="31">
        <v>-7.438490583841997</v>
      </c>
    </row>
    <row r="9" spans="1:6" x14ac:dyDescent="0.25">
      <c r="A9" s="30">
        <v>0.089454</v>
      </c>
      <c r="B9" s="31">
        <v>-16.742975292025218</v>
      </c>
      <c r="C9" s="31">
        <v>-16.510520305040217</v>
      </c>
      <c r="D9" s="31">
        <v>-16.278065318055233</v>
      </c>
      <c r="E9" s="31">
        <v>-16.04561033107021</v>
      </c>
      <c r="F9" s="31">
        <v>-15.813155344085228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5961600000</v>
      </c>
      <c r="C5" s="18">
        <v>5847300000</v>
      </c>
      <c r="D5" s="18">
        <v>5508200000</v>
      </c>
      <c r="E5" s="18">
        <v>5859100000</v>
      </c>
      <c r="F5" s="8" t="s">
        <v>84</v>
      </c>
    </row>
    <row r="6" spans="1:6" x14ac:dyDescent="0.25">
      <c r="A6" t="s">
        <v>44</v>
      </c>
      <c r="B6" s="18">
        <v>1532900000</v>
      </c>
      <c r="C6" s="18">
        <v>1468000000</v>
      </c>
      <c r="D6" s="18">
        <v>1282400000</v>
      </c>
      <c r="E6" s="18">
        <v>1302100000</v>
      </c>
      <c r="F6" s="8" t="s">
        <v>85</v>
      </c>
    </row>
    <row r="7" spans="1:6" x14ac:dyDescent="0.25">
      <c r="A7" t="s">
        <v>86</v>
      </c>
      <c r="B7" s="18">
        <v>1218100000</v>
      </c>
      <c r="C7" s="18">
        <v>1170500000</v>
      </c>
      <c r="D7" s="18">
        <v>1138900000</v>
      </c>
      <c r="E7" s="18">
        <v>984900000</v>
      </c>
      <c r="F7" s="8" t="s">
        <v>87</v>
      </c>
    </row>
    <row r="8" spans="1:6" x14ac:dyDescent="0.25">
      <c r="A8" t="s">
        <v>88</v>
      </c>
      <c r="B8" s="18">
        <v>2796900000</v>
      </c>
      <c r="C8" s="18">
        <v>2336600000</v>
      </c>
      <c r="D8" s="18">
        <v>2334000000</v>
      </c>
      <c r="E8" s="18">
        <v>2166500000</v>
      </c>
      <c r="F8" s="8" t="s">
        <v>89</v>
      </c>
    </row>
    <row r="9" spans="1:6" x14ac:dyDescent="0.25">
      <c r="A9" t="s">
        <v>90</v>
      </c>
      <c r="B9" s="18">
        <v>119300000</v>
      </c>
      <c r="C9" s="18">
        <v>62200000</v>
      </c>
      <c r="D9" s="18">
        <v>-121800000</v>
      </c>
      <c r="E9" s="18">
        <v>8600000</v>
      </c>
      <c r="F9" s="8" t="s">
        <v>91</v>
      </c>
    </row>
    <row r="10" spans="1:6" x14ac:dyDescent="0.25">
      <c r="A10" t="s">
        <v>92</v>
      </c>
      <c r="B10" s="18">
        <v>15202200000</v>
      </c>
      <c r="C10" s="18">
        <v>14069500000</v>
      </c>
      <c r="D10" s="18">
        <v>13147100000</v>
      </c>
      <c r="E10" s="18">
        <v>12036100000</v>
      </c>
      <c r="F10" s="8" t="s">
        <v>93</v>
      </c>
    </row>
    <row r="11" spans="1:6" x14ac:dyDescent="0.25">
      <c r="A11" t="s">
        <v>94</v>
      </c>
      <c r="B11" s="18">
        <v>19800000</v>
      </c>
      <c r="C11" s="18">
        <v>22000000</v>
      </c>
      <c r="D11" s="18">
        <v>27700000</v>
      </c>
      <c r="E11" s="18">
        <v>25200000</v>
      </c>
      <c r="F11" s="8" t="s">
        <v>95</v>
      </c>
    </row>
    <row r="12" spans="1:6" x14ac:dyDescent="0.25">
      <c r="A12" t="s">
        <v>32</v>
      </c>
      <c r="B12" s="34">
        <v>233600000</v>
      </c>
      <c r="C12" s="34">
        <v>230600000</v>
      </c>
      <c r="D12" s="34">
        <v>230500000</v>
      </c>
      <c r="E12" s="34">
        <v>230300000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2026-09-19T01:04:52Z</dcterms:modified>
</cp:coreProperties>
</file>