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<sst xmlns="http://schemas.openxmlformats.org/spreadsheetml/2006/main" count="112" uniqueCount="100">
  <si>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EVT Limited (EVT.AX)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</si>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</sst>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0.17798156087064942</v>
      </c>
    </row>
    <row r="7" spans="1:2" x14ac:dyDescent="0.25">
      <c r="A7" t="s">
        <v>5</v>
      </c>
      <c r="B7" s="6">
        <v>-0.015954276085144645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0.18847240242419283</v>
      </c>
    </row>
    <row r="10" spans="1:2" x14ac:dyDescent="0.25">
      <c r="A10" t="s">
        <v>8</v>
      </c>
      <c r="B10" s="6">
        <v>0.11454342275821235</v>
      </c>
    </row>
    <row r="11" spans="1:2" x14ac:dyDescent="0.25">
      <c r="A11" t="s">
        <v>9</v>
      </c>
      <c r="B11" s="6">
        <v>0.0693109689875709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14.059905438526762</v>
      </c>
    </row>
    <row r="14" spans="1:3" x14ac:dyDescent="0.25">
      <c r="A14" t="s">
        <v>12</v>
      </c>
      <c r="B14" s="6">
        <v>0.07223577284275674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0.6663399999999999</v>
      </c>
      <c r="C19" s="8" t="s">
        <v>19</v>
      </c>
    </row>
    <row r="20" spans="1:2" x14ac:dyDescent="0.25">
      <c r="A20" t="s">
        <v>20</v>
      </c>
      <c r="B20" s="10">
        <f>B17+B19*B18</f>
        <v>0.0934604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2157048320</v>
      </c>
    </row>
    <row r="23" spans="1:2" x14ac:dyDescent="0.25">
      <c r="A23" t="s">
        <v>24</v>
      </c>
      <c r="B23" s="11">
        <v>1315599000</v>
      </c>
    </row>
    <row r="24" spans="1:2" x14ac:dyDescent="0.25">
      <c r="A24" t="s">
        <v>25</v>
      </c>
      <c r="B24" s="10">
        <f>B22/(B22+B23)</f>
        <v>0.6211538694346882</v>
      </c>
    </row>
    <row r="25" spans="1:2" x14ac:dyDescent="0.25">
      <c r="A25" t="s">
        <v>26</v>
      </c>
      <c r="B25" s="10">
        <f>1-B24</f>
        <v>0.3788461305653118</v>
      </c>
    </row>
    <row r="26" spans="1:2" x14ac:dyDescent="0.25">
      <c r="A26" t="s">
        <v>27</v>
      </c>
      <c r="B26" s="12">
        <f>B24*B20+B25*B21*(1-B8)</f>
        <v>0.07223577284275674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1195340000</v>
      </c>
      <c r="C29" s="8" t="s">
        <v>30</v>
      </c>
    </row>
    <row r="30" spans="1:2" x14ac:dyDescent="0.25">
      <c r="A30" t="s">
        <v>31</v>
      </c>
      <c r="B30" s="11">
        <v>1238925000</v>
      </c>
    </row>
    <row r="31" spans="1:2" x14ac:dyDescent="0.25">
      <c r="A31" t="s">
        <v>32</v>
      </c>
      <c r="B31" s="13">
        <v>164502463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0.17798156087064942</v>
      </c>
      <c r="C5" s="10">
        <f>Assumptions!B6</f>
        <v>0.17798156087064942</v>
      </c>
      <c r="D5" s="10">
        <f>Assumptions!B6</f>
        <v>0.17798156087064942</v>
      </c>
      <c r="E5" s="10">
        <f>Assumptions!B6</f>
        <v>0.17798156087064942</v>
      </c>
      <c r="F5" s="10">
        <f>Assumptions!B6</f>
        <v>0.17798156087064942</v>
      </c>
    </row>
    <row r="6" spans="1:6" x14ac:dyDescent="0.25">
      <c r="A6" t="s">
        <v>43</v>
      </c>
      <c r="B6" s="18">
        <f>Assumptions!B29*(1+B5)</f>
        <v>1408088478.971122</v>
      </c>
      <c r="C6" s="18">
        <f>B6*(1+C5)</f>
        <v>1658702264.302381</v>
      </c>
      <c r="D6" s="18">
        <f>C6*(1+D5)</f>
        <v>1953920682.3225994</v>
      </c>
      <c r="E6" s="18">
        <f>D6*(1+E5)</f>
        <v>2301682535.17982</v>
      </c>
      <c r="F6" s="18">
        <f>E6*(1+F5)</f>
        <v>2711339585.419838</v>
      </c>
    </row>
    <row r="7" spans="1:6" x14ac:dyDescent="0.25">
      <c r="A7" t="s">
        <v>5</v>
      </c>
      <c r="B7" s="10">
        <f>Assumptions!B7</f>
        <v>-0.015954276085144645</v>
      </c>
      <c r="C7" s="10">
        <f>Assumptions!B7</f>
        <v>-0.015954276085144645</v>
      </c>
      <c r="D7" s="10">
        <f>Assumptions!B7</f>
        <v>-0.015954276085144645</v>
      </c>
      <c r="E7" s="10">
        <f>Assumptions!B7</f>
        <v>-0.015954276085144645</v>
      </c>
      <c r="F7" s="10">
        <f>Assumptions!B7</f>
        <v>-0.015954276085144645</v>
      </c>
    </row>
    <row r="8" spans="1:6" x14ac:dyDescent="0.25">
      <c r="A8" t="s">
        <v>44</v>
      </c>
      <c r="B8" s="18">
        <f>B6*B7</f>
        <v>-22465032.34581667</v>
      </c>
      <c r="C8" s="18">
        <f>C6*C7</f>
        <v>-26463393.86773475</v>
      </c>
      <c r="D8" s="18">
        <f>D6*D7</f>
        <v>-31173390.014248956</v>
      </c>
      <c r="E8" s="18">
        <f>E6*E7</f>
        <v>-36721678.6266145</v>
      </c>
      <c r="F8" s="18">
        <f>F6*F7</f>
        <v>-43257460.306369714</v>
      </c>
    </row>
    <row r="9" spans="1:6" x14ac:dyDescent="0.25">
      <c r="A9" t="s">
        <v>45</v>
      </c>
      <c r="B9" s="18">
        <f>B8*(1-Assumptions!B8)</f>
        <v>-15725522.64207167</v>
      </c>
      <c r="C9" s="18">
        <f>C8*(1-Assumptions!B8)</f>
        <v>-18524375.70741432</v>
      </c>
      <c r="D9" s="18">
        <f>D8*(1-Assumptions!B8)</f>
        <v>-21821373.009974267</v>
      </c>
      <c r="E9" s="18">
        <f>E8*(1-Assumptions!B8)</f>
        <v>-25705175.03863015</v>
      </c>
      <c r="F9" s="18">
        <f>F8*(1-Assumptions!B8)</f>
        <v>-30280222.214458797</v>
      </c>
    </row>
    <row r="10" spans="1:6" x14ac:dyDescent="0.25">
      <c r="A10" t="s">
        <v>46</v>
      </c>
      <c r="B10" s="18">
        <f>B6*Assumptions!B9</f>
        <v>265385818.45751488</v>
      </c>
      <c r="C10" s="18">
        <f>C6*Assumptions!B9</f>
        <v>312619600.65951824</v>
      </c>
      <c r="D10" s="18">
        <f>D6*Assumptions!B9</f>
        <v>368260125.1436584</v>
      </c>
      <c r="E10" s="18">
        <f>E6*Assumptions!B9</f>
        <v>433803637.0231474</v>
      </c>
      <c r="F10" s="18">
        <f>F6*Assumptions!B9</f>
        <v>511012685.45189184</v>
      </c>
    </row>
    <row r="11" spans="1:6" x14ac:dyDescent="0.25">
      <c r="A11" t="s">
        <v>47</v>
      </c>
      <c r="B11" s="18">
        <f>-B6*Assumptions!B10</f>
        <v>-161287273.9277574</v>
      </c>
      <c r="C11" s="18">
        <f>-C6*Assumptions!B10</f>
        <v>-189993434.6899917</v>
      </c>
      <c r="D11" s="18">
        <f>-D6*Assumptions!B10</f>
        <v>-223808762.75129223</v>
      </c>
      <c r="E11" s="18">
        <f>-E6*Assumptions!B10</f>
        <v>-263642595.6822961</v>
      </c>
      <c r="F11" s="18">
        <f>-F6*Assumptions!B10</f>
        <v>-310566116.3738207</v>
      </c>
    </row>
    <row r="12" spans="1:6" x14ac:dyDescent="0.25">
      <c r="A12" t="s">
        <v>48</v>
      </c>
      <c r="B12" s="18">
        <f>-(B6-Assumptions!B29)*Assumptions!B11</f>
        <v>-14745803.22812032</v>
      </c>
      <c r="C12" s="18">
        <f>-(C6-B6)*Assumptions!B11</f>
        <v>-17370284.302952643</v>
      </c>
      <c r="D12" s="18">
        <f>-(D6-C6)*Assumptions!B11</f>
        <v>-20461874.615959097</v>
      </c>
      <c r="E12" s="18">
        <f>-(E6-D6)*Assumptions!B11</f>
        <v>-24103710.998447016</v>
      </c>
      <c r="F12" s="18">
        <f>-(F6-E6)*Assumptions!B11</f>
        <v>-28393727.104725655</v>
      </c>
    </row>
    <row r="13" spans="1:6" x14ac:dyDescent="0.25">
      <c r="A13" s="19" t="s">
        <v>49</v>
      </c>
      <c r="B13" s="20">
        <f>B9+B10+B11+B12</f>
        <v>73627218.65956548</v>
      </c>
      <c r="C13" s="20">
        <f>C9+C10+C11+C12</f>
        <v>86731505.95915955</v>
      </c>
      <c r="D13" s="20">
        <f>D9+D10+D11+D12</f>
        <v>102168114.76643284</v>
      </c>
      <c r="E13" s="20">
        <f>E9+E10+E11+E12</f>
        <v>120352155.30377416</v>
      </c>
      <c r="F13" s="20">
        <f>F9+F10+F11+F12</f>
        <v>141772619.75888664</v>
      </c>
    </row>
    <row r="14" spans="1:6" x14ac:dyDescent="0.25">
      <c r="A14" t="s">
        <v>50</v>
      </c>
      <c r="B14" s="21">
        <f>1/(1+Assumptions!$B$26)^(1-0.5*Assumptions!$B$32)</f>
        <v>0.9657280676088982</v>
      </c>
      <c r="C14" s="21">
        <f>1/(1+Assumptions!$B$26)^(2-0.5*Assumptions!$B$32)</f>
        <v>0.9006676442518973</v>
      </c>
      <c r="D14" s="21">
        <f>1/(1+Assumptions!$B$26)^(3-0.5*Assumptions!$B$32)</f>
        <v>0.8399902960372319</v>
      </c>
      <c r="E14" s="21">
        <f>1/(1+Assumptions!$B$26)^(4-0.5*Assumptions!$B$32)</f>
        <v>0.7834007382632031</v>
      </c>
      <c r="F14" s="21">
        <f>1/(1+Assumptions!$B$26)^(5-0.5*Assumptions!$B$32)</f>
        <v>0.7306235793515992</v>
      </c>
    </row>
    <row r="15" spans="1:6" x14ac:dyDescent="0.25">
      <c r="A15" s="19" t="s">
        <v>51</v>
      </c>
      <c r="B15" s="20">
        <f>B13*B14</f>
        <v>71103871.59951998</v>
      </c>
      <c r="C15" s="20">
        <f>C13*C14</f>
        <v>78116261.15465562</v>
      </c>
      <c r="D15" s="20">
        <f>D13*D14</f>
        <v>85820224.9682218</v>
      </c>
      <c r="E15" s="20">
        <f>E13*E14</f>
        <v>94283967.31654435</v>
      </c>
      <c r="F15" s="20">
        <f>F13*F14</f>
        <v>103582418.902291</v>
      </c>
    </row>
    <row r="17" spans="1:2" x14ac:dyDescent="0.25">
      <c r="A17" s="22" t="s">
        <v>52</v>
      </c>
      <c r="B17" s="23">
        <f>SUM(B15:F15)</f>
        <v>432906743.94123274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141772619.75888664</v>
      </c>
    </row>
    <row r="5" spans="1:2" x14ac:dyDescent="0.25">
      <c r="A5" t="s">
        <v>56</v>
      </c>
      <c r="B5" s="18">
        <f>IF(Assumptions!$B$33=0,B4,B4-Forecast!F11-Forecast!F10-Forecast!F12)</f>
        <v>-30280222.214458797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0.3460889115759881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432906743.94123274</v>
      </c>
    </row>
    <row r="12" spans="1:2" x14ac:dyDescent="0.25">
      <c r="A12" t="s">
        <v>63</v>
      </c>
      <c r="B12" s="18">
        <f>-Assumptions!B30</f>
        <v>-1238925000</v>
      </c>
    </row>
    <row r="13" spans="1:2" x14ac:dyDescent="0.25">
      <c r="A13" t="s">
        <v>64</v>
      </c>
      <c r="B13" s="18">
        <f>B11+B12</f>
        <v>-806018256.0587673</v>
      </c>
    </row>
    <row r="14" spans="1:2" x14ac:dyDescent="0.25">
      <c r="A14" s="19" t="s">
        <v>65</v>
      </c>
      <c r="B14" s="24">
        <f>B13/Assumptions!B31</f>
        <v>-4.8997336657431525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467755225.1455221</v>
      </c>
    </row>
    <row r="18" spans="1:2" x14ac:dyDescent="0.25">
      <c r="A18" t="s">
        <v>60</v>
      </c>
      <c r="B18" s="18">
        <f>B17*Assumptions!B13</f>
        <v>6576594233.922836</v>
      </c>
    </row>
    <row r="19" spans="1:2" x14ac:dyDescent="0.25">
      <c r="A19" t="s">
        <v>61</v>
      </c>
      <c r="B19" s="18">
        <f>B18/(1+Assumptions!B26)^(5-0.5*Assumptions!B32)</f>
        <v>4805014819.131791</v>
      </c>
    </row>
    <row r="20" spans="1:2" x14ac:dyDescent="0.25">
      <c r="A20" t="s">
        <v>62</v>
      </c>
      <c r="B20" s="18">
        <f>Forecast!B17+B19</f>
        <v>5237921563.073024</v>
      </c>
    </row>
    <row r="21" spans="1:2" x14ac:dyDescent="0.25">
      <c r="A21" t="s">
        <v>63</v>
      </c>
      <c r="B21" s="18">
        <f>-Assumptions!B30</f>
        <v>-1238925000</v>
      </c>
    </row>
    <row r="22" spans="1:2" x14ac:dyDescent="0.25">
      <c r="A22" t="s">
        <v>64</v>
      </c>
      <c r="B22" s="18">
        <f>B20+B21</f>
        <v>3998996563.073024</v>
      </c>
    </row>
    <row r="23" spans="1:2" x14ac:dyDescent="0.25">
      <c r="A23" s="19" t="s">
        <v>65</v>
      </c>
      <c r="B23" s="25">
        <f>B22/Assumptions!B31</f>
        <v>24.30964552228634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-4.8997336657431525</v>
      </c>
    </row>
    <row r="29" spans="1:2" x14ac:dyDescent="0.25">
      <c r="A29" s="19" t="s">
        <v>73</v>
      </c>
      <c r="B29" s="12">
        <f>B28/B26-1</f>
        <v>-1.370070518560661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0.052236</v>
      </c>
      <c r="B5" s="31">
        <v>-4.762179432883209</v>
      </c>
      <c r="C5" s="31">
        <v>-4.762179432883209</v>
      </c>
      <c r="D5" s="31">
        <v>-4.762179432883209</v>
      </c>
      <c r="E5" s="31">
        <v>-4.762179432883209</v>
      </c>
      <c r="F5" s="31">
        <v>-4.762179432883209</v>
      </c>
    </row>
    <row r="6" spans="1:6" x14ac:dyDescent="0.25">
      <c r="A6" s="30">
        <v>0.062236</v>
      </c>
      <c r="B6" s="31">
        <v>-4.832392922039105</v>
      </c>
      <c r="C6" s="31">
        <v>-4.832392922039105</v>
      </c>
      <c r="D6" s="31">
        <v>-4.832392922039105</v>
      </c>
      <c r="E6" s="31">
        <v>-4.832392922039105</v>
      </c>
      <c r="F6" s="31">
        <v>-4.832392922039105</v>
      </c>
    </row>
    <row r="7" spans="1:6" x14ac:dyDescent="0.25">
      <c r="A7" s="30">
        <v>0.072236</v>
      </c>
      <c r="B7" s="31">
        <v>-4.899735164011605</v>
      </c>
      <c r="C7" s="31">
        <v>-4.899735164011605</v>
      </c>
      <c r="D7" s="32">
        <v>-4.899735164011605</v>
      </c>
      <c r="E7" s="31">
        <v>-4.899735164011605</v>
      </c>
      <c r="F7" s="31">
        <v>-4.899735164011605</v>
      </c>
    </row>
    <row r="8" spans="1:6" x14ac:dyDescent="0.25">
      <c r="A8" s="30">
        <v>0.082236</v>
      </c>
      <c r="B8" s="31">
        <v>-4.964355800419237</v>
      </c>
      <c r="C8" s="31">
        <v>-4.964355800419237</v>
      </c>
      <c r="D8" s="31">
        <v>-4.964355800419237</v>
      </c>
      <c r="E8" s="31">
        <v>-4.964355800419237</v>
      </c>
      <c r="F8" s="31">
        <v>-4.964355800419237</v>
      </c>
    </row>
    <row r="9" spans="1:6" x14ac:dyDescent="0.25">
      <c r="A9" s="30">
        <v>0.092236</v>
      </c>
      <c r="B9" s="31">
        <v>-5.026395185452799</v>
      </c>
      <c r="C9" s="31">
        <v>-5.026395185452799</v>
      </c>
      <c r="D9" s="31">
        <v>-5.026395185452799</v>
      </c>
      <c r="E9" s="31">
        <v>-5.026395185452799</v>
      </c>
      <c r="F9" s="31">
        <v>-5.026395185452799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1195340000</v>
      </c>
      <c r="C5" s="18">
        <v>1188955000</v>
      </c>
      <c r="D5" s="18">
        <v>1145617000</v>
      </c>
      <c r="E5" s="18">
        <v>731267000</v>
      </c>
      <c r="F5" s="8" t="s">
        <v>84</v>
      </c>
    </row>
    <row r="6" spans="1:6" x14ac:dyDescent="0.25">
      <c r="A6" t="s">
        <v>44</v>
      </c>
      <c r="B6" s="18">
        <v>52927000</v>
      </c>
      <c r="C6" s="18">
        <v>61817000</v>
      </c>
      <c r="D6" s="18">
        <v>69917000</v>
      </c>
      <c r="E6" s="18">
        <v>-161696000</v>
      </c>
      <c r="F6" s="8" t="s">
        <v>85</v>
      </c>
    </row>
    <row r="7" spans="1:6" x14ac:dyDescent="0.25">
      <c r="A7" t="s">
        <v>86</v>
      </c>
      <c r="B7" s="18">
        <v>188609000</v>
      </c>
      <c r="C7" s="18">
        <v>191131000</v>
      </c>
      <c r="D7" s="18">
        <v>198096000</v>
      </c>
      <c r="E7" s="18">
        <v>191907000</v>
      </c>
      <c r="F7" s="8" t="s">
        <v>87</v>
      </c>
    </row>
    <row r="8" spans="1:6" x14ac:dyDescent="0.25">
      <c r="A8" t="s">
        <v>88</v>
      </c>
      <c r="B8" s="18">
        <v>82330000</v>
      </c>
      <c r="C8" s="18">
        <v>89710000</v>
      </c>
      <c r="D8" s="18">
        <v>203688000</v>
      </c>
      <c r="E8" s="18">
        <v>99487000</v>
      </c>
      <c r="F8" s="8" t="s">
        <v>89</v>
      </c>
    </row>
    <row r="9" spans="1:6" x14ac:dyDescent="0.25">
      <c r="A9" t="s">
        <v>90</v>
      </c>
      <c r="B9" s="18">
        <v>9321000</v>
      </c>
      <c r="C9" s="18">
        <v>2647000</v>
      </c>
      <c r="D9" s="18">
        <v>28719000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1315599000</v>
      </c>
      <c r="C10" s="18">
        <v>1324318000</v>
      </c>
      <c r="D10" s="18">
        <v>1398200000</v>
      </c>
      <c r="E10" s="18">
        <v>1331408000</v>
      </c>
      <c r="F10" s="8" t="s">
        <v>93</v>
      </c>
    </row>
    <row r="11" spans="1:6" x14ac:dyDescent="0.25">
      <c r="A11" t="s">
        <v>94</v>
      </c>
      <c r="B11" s="18">
        <v>76674000</v>
      </c>
      <c r="C11" s="18">
        <v>106418000</v>
      </c>
      <c r="D11" s="18">
        <v>207000000</v>
      </c>
      <c r="E11" s="18">
        <v>175158000</v>
      </c>
      <c r="F11" s="8" t="s">
        <v>95</v>
      </c>
    </row>
    <row r="12" spans="1:6" x14ac:dyDescent="0.25">
      <c r="A12" t="s">
        <v>32</v>
      </c>
      <c r="B12" s="34">
        <v>164502463</v>
      </c>
      <c r="C12" s="34">
        <v>166068966</v>
      </c>
      <c r="D12" s="34">
        <v>162639695</v>
      </c>
      <c r="E12" s="34">
        <v>162072948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