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<sst xmlns="http://schemas.openxmlformats.org/spreadsheetml/2006/main" count="121" uniqueCount="108">
  <si>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Edwards Lifesciences Corporation (EW)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</si>
  <si>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</si>
  <si>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</si>
  <si>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</si>
  <si>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</si>
  <si>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</si>
  <si>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</si>
  <si>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</si>
  <si>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</si>
  <si>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</si>
  <si>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</si>
  <si>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</si>
  <si>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</si>
  <si>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</si>
  <si>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</si>
  <si>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</si>
  <si>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</si>
  <si>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</si>
  <si>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</si>
  <si>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</si>
  <si>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</si>
  <si>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</si>
  <si>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</si>
  <si>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</si>
  <si>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80.2x interest cover. Book interest / average debt was lower, at 2.9%.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</si>
  <si>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</si>
  <si>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</si>
  <si>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</si>
  <si>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</si>
  <si>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</si>
  <si>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</si>
  <si>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</si>
  <si>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</si>
  <si>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</si>
  <si>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</si>
  <si>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</si>
  <si>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</si>
  <si>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</si>
  <si>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</si>
  <si>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</si>
  <si>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</si>
  <si>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</si>
  <si>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</si>
  <si>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</si>
  <si>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</si>
  <si>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</si>
  <si>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</si>
  <si>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</si>
  <si>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</si>
  <si>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</si>
  <si>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</si>
  <si>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</si>
  <si>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</si>
  <si>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</si>
  <si>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</si>
  <si>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</si>
  <si>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</si>
  <si>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</si>
  <si>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</si>
  <si>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</si>
  <si>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</si>
  <si>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</si>
  <si>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</si>
  <si>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</si>
  <si>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</si>
  <si>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</si>
  <si>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</si>
  <si>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</si>
  <si>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</si>
  <si>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</si>
  <si>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</si>
  <si>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</si>
  <si>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</si>
  <si>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</si>
  <si>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</si>
  <si>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</si>
  <si>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</si>
  <si>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</si>
  <si>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</si>
  <si>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</si>
  <si>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</si>
  <si>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</si>
  <si>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</si>
  <si>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</si>
  <si>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</si>
  <si>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</si>
  <si>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</si>
  <si>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</si>
  <si>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</si>
  <si>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</si>
  <si>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</si>
  <si>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</si>
  <si>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</si>
  <si>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</si>
  <si>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</si>
  <si>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</si>
  <si>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</si>
  <si>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</si>
  <si>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</si>
  <si>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</si>
  <si>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</si>
  <si>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</si>
  <si>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</si>
  <si>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</si>
  <si>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</si>
  <si>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5.2% of revenue against depreciation of 2.9%.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</si>
  <si>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27.6x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</si>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</sst>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0.1142928703276418</v>
      </c>
    </row>
    <row r="7" spans="1:2" x14ac:dyDescent="0.25">
      <c r="A7" t="s">
        <v>4</v>
      </c>
      <c r="B7" s="5">
        <v>0.29579779952118346</v>
      </c>
    </row>
    <row r="8" spans="1:2" x14ac:dyDescent="0.25">
      <c r="A8" t="s">
        <v>5</v>
      </c>
      <c r="B8" s="5">
        <v>0.11985354291998636</v>
      </c>
    </row>
    <row r="9" spans="1:2" x14ac:dyDescent="0.25">
      <c r="A9" t="s">
        <v>6</v>
      </c>
      <c r="B9" s="5">
        <v>0.028633951870294987</v>
      </c>
    </row>
    <row r="10" spans="1:3" x14ac:dyDescent="0.25">
      <c r="A10" t="s">
        <v>7</v>
      </c>
      <c r="B10" s="5">
        <v>0.051818184475891316</v>
      </c>
      <c r="C10" s="6" t="s">
        <v>8</v>
      </c>
    </row>
    <row r="11" spans="1:2" x14ac:dyDescent="0.25">
      <c r="A11" t="s">
        <v>9</v>
      </c>
      <c r="B11" s="5">
        <v>0.28520188553396586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0.15609189646408536</v>
      </c>
      <c r="C14" s="6" t="s">
        <v>13</v>
      </c>
    </row>
    <row r="15" spans="1:3" x14ac:dyDescent="0.25">
      <c r="A15" t="s">
        <v>14</v>
      </c>
      <c r="B15" s="5">
        <v>0.02886003530573262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0.90888</v>
      </c>
      <c r="C19" s="6" t="s">
        <v>21</v>
      </c>
    </row>
    <row r="20" spans="1:2" x14ac:dyDescent="0.25">
      <c r="A20" t="s">
        <v>22</v>
      </c>
      <c r="B20" s="9">
        <f>B17+B19*B18</f>
        <v>0.087385624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53034565632</v>
      </c>
    </row>
    <row r="23" spans="1:2" x14ac:dyDescent="0.25">
      <c r="A23" t="s">
        <v>26</v>
      </c>
      <c r="B23" s="10">
        <v>705400000</v>
      </c>
    </row>
    <row r="24" spans="1:2" x14ac:dyDescent="0.25">
      <c r="A24" t="s">
        <v>27</v>
      </c>
      <c r="B24" s="9">
        <f>B22/(B22+B23)</f>
        <v>0.9868738285984321</v>
      </c>
    </row>
    <row r="25" spans="1:2" x14ac:dyDescent="0.25">
      <c r="A25" t="s">
        <v>28</v>
      </c>
      <c r="B25" s="9">
        <f>1-B24</f>
        <v>0.01312617140156791</v>
      </c>
    </row>
    <row r="26" spans="1:2" x14ac:dyDescent="0.25">
      <c r="A26" t="s">
        <v>29</v>
      </c>
      <c r="B26" s="11">
        <f>B24*B20+B25*B21*(1-B8)</f>
        <v>0.08685019866661588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6067600000</v>
      </c>
      <c r="C29" s="6" t="s">
        <v>32</v>
      </c>
    </row>
    <row r="30" spans="1:2" x14ac:dyDescent="0.25">
      <c r="A30" t="s">
        <v>33</v>
      </c>
      <c r="B30" s="10">
        <v>-3520900000</v>
      </c>
    </row>
    <row r="31" spans="1:2" x14ac:dyDescent="0.25">
      <c r="A31" t="s">
        <v>34</v>
      </c>
      <c r="B31" s="12">
        <v>585800000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0.1142928703276418</v>
      </c>
      <c r="C5" s="5">
        <v>0.0990605038267669</v>
      </c>
      <c r="D5" s="5">
        <v>0.08980294084842104</v>
      </c>
      <c r="E5" s="5">
        <v>0.08054537787007518</v>
      </c>
      <c r="F5" s="5">
        <v>0.0712878148917293</v>
      </c>
      <c r="G5" s="5">
        <v>0.06203025191338345</v>
      </c>
      <c r="H5" s="5">
        <v>0.05277268893503759</v>
      </c>
      <c r="I5" s="5">
        <v>0.04351512595669172</v>
      </c>
      <c r="J5" s="5">
        <v>0.034257562978345854</v>
      </c>
      <c r="K5" s="5">
        <v>0.024999999999999994</v>
      </c>
    </row>
    <row r="6" spans="1:11" x14ac:dyDescent="0.25">
      <c r="A6" t="s">
        <v>50</v>
      </c>
      <c r="B6" s="18">
        <f>Assumptions!B29*(1+B5)</f>
        <v>6761083419.999999</v>
      </c>
      <c r="C6" s="18">
        <f>B6*(1+C5)</f>
        <v>7430839749.999999</v>
      </c>
      <c r="D6" s="18">
        <f>C6*(1+D5)</f>
        <v>8098151012.523345</v>
      </c>
      <c r="E6" s="18">
        <f>D6*(1+E5)</f>
        <v>8750419645.875969</v>
      </c>
      <c r="F6" s="18">
        <f>E6*(1+F5)</f>
        <v>9374217941.816126</v>
      </c>
      <c r="G6" s="18">
        <f>F6*(1+G5)</f>
        <v>9955703042.23794</v>
      </c>
      <c r="H6" s="18">
        <f>G6*(1+H5)</f>
        <v>10481092262.01557</v>
      </c>
      <c r="I6" s="18">
        <f>H6*(1+I5)</f>
        <v>10937178311.960884</v>
      </c>
      <c r="J6" s="18">
        <f>I6*(1+J5)</f>
        <v>11311859386.788282</v>
      </c>
      <c r="K6" s="18">
        <f>J6*(1+K5)</f>
        <v>11594655871.457989</v>
      </c>
    </row>
    <row r="7" spans="1:11" x14ac:dyDescent="0.25">
      <c r="A7" t="s">
        <v>4</v>
      </c>
      <c r="B7" s="9">
        <f>Assumptions!B7</f>
        <v>0.29579779952118346</v>
      </c>
      <c r="C7" s="9">
        <f>Assumptions!B7</f>
        <v>0.29579779952118346</v>
      </c>
      <c r="D7" s="9">
        <f>Assumptions!B7</f>
        <v>0.29579779952118346</v>
      </c>
      <c r="E7" s="9">
        <f>Assumptions!B7</f>
        <v>0.29579779952118346</v>
      </c>
      <c r="F7" s="9">
        <f>Assumptions!B7</f>
        <v>0.29579779952118346</v>
      </c>
      <c r="G7" s="9">
        <f>Assumptions!B7</f>
        <v>0.29579779952118346</v>
      </c>
      <c r="H7" s="9">
        <f>Assumptions!B7</f>
        <v>0.29579779952118346</v>
      </c>
      <c r="I7" s="9">
        <f>Assumptions!B7</f>
        <v>0.29579779952118346</v>
      </c>
      <c r="J7" s="9">
        <f>Assumptions!B7</f>
        <v>0.29579779952118346</v>
      </c>
      <c r="K7" s="9">
        <f>Assumptions!B7</f>
        <v>0.29579779952118346</v>
      </c>
    </row>
    <row r="8" spans="1:11" x14ac:dyDescent="0.25">
      <c r="A8" t="s">
        <v>51</v>
      </c>
      <c r="B8" s="18">
        <f>B6*B7</f>
        <v>1999913598.0151572</v>
      </c>
      <c r="C8" s="18">
        <f>C6*C7</f>
        <v>2198026046.644541</v>
      </c>
      <c r="D8" s="18">
        <f>D6*D7</f>
        <v>2395415249.694649</v>
      </c>
      <c r="E8" s="18">
        <f>E6*E7</f>
        <v>2588354876.137045</v>
      </c>
      <c r="F8" s="18">
        <f>F6*F7</f>
        <v>2772873039.4212074</v>
      </c>
      <c r="G8" s="18">
        <f>G6*G7</f>
        <v>2944875052.580334</v>
      </c>
      <c r="H8" s="18">
        <f>H6*H7</f>
        <v>3100284027.6827087</v>
      </c>
      <c r="I8" s="18">
        <f>I6*I7</f>
        <v>3235193277.6488414</v>
      </c>
      <c r="J8" s="18">
        <f>J6*J7</f>
        <v>3346023115.1050177</v>
      </c>
      <c r="K8" s="18">
        <f>K6*K7</f>
        <v>3429673692.9826427</v>
      </c>
    </row>
    <row r="9" spans="1:11" x14ac:dyDescent="0.25">
      <c r="A9" t="s">
        <v>52</v>
      </c>
      <c r="B9" s="18">
        <f>B8*(1-Assumptions!B8)</f>
        <v>1760216867.7591832</v>
      </c>
      <c r="C9" s="18">
        <f>C8*(1-Assumptions!B8)</f>
        <v>1934584837.5237813</v>
      </c>
      <c r="D9" s="18">
        <f>D8*(1-Assumptions!B8)</f>
        <v>2108316245.2541816</v>
      </c>
      <c r="E9" s="18">
        <f>E8*(1-Assumptions!B8)</f>
        <v>2278131373.8977976</v>
      </c>
      <c r="F9" s="18">
        <f>F8*(1-Assumptions!B8)</f>
        <v>2440534381.5792646</v>
      </c>
      <c r="G9" s="18">
        <f>G8*(1-Assumptions!B8)</f>
        <v>2591921344.0719</v>
      </c>
      <c r="H9" s="18">
        <f>H8*(1-Assumptions!B8)</f>
        <v>2728704002.906691</v>
      </c>
      <c r="I9" s="18">
        <f>I8*(1-Assumptions!B8)</f>
        <v>2847443901.2917047</v>
      </c>
      <c r="J9" s="18">
        <f>J8*(1-Assumptions!B8)</f>
        <v>2944990390.067512</v>
      </c>
      <c r="K9" s="18">
        <f>K8*(1-Assumptions!B8)</f>
        <v>3018615149.819199</v>
      </c>
    </row>
    <row r="10" spans="1:11" x14ac:dyDescent="0.25">
      <c r="A10" t="s">
        <v>53</v>
      </c>
      <c r="B10" s="18">
        <f>B6*Assumptions!B9</f>
        <v>193596537.2393294</v>
      </c>
      <c r="C10" s="18">
        <f>C6*Assumptions!B9</f>
        <v>212774307.7573748</v>
      </c>
      <c r="D10" s="18">
        <f>D6*Assumptions!B9</f>
        <v>231882066.33097407</v>
      </c>
      <c r="E10" s="18">
        <f>E6*Assumptions!B9</f>
        <v>250559094.98489618</v>
      </c>
      <c r="F10" s="18">
        <f>F6*Assumptions!B9</f>
        <v>268420905.36761868</v>
      </c>
      <c r="G10" s="18">
        <f>G6*Assumptions!B9</f>
        <v>285071121.7463905</v>
      </c>
      <c r="H10" s="18">
        <f>H6*Assumptions!B9</f>
        <v>300115091.37867504</v>
      </c>
      <c r="I10" s="18">
        <f>I6*Assumptions!B9</f>
        <v>313174637.3815221</v>
      </c>
      <c r="J10" s="18">
        <f>J6*Assumptions!B9</f>
        <v>323903237.24484026</v>
      </c>
      <c r="K10" s="18">
        <f>K6*Assumptions!B9</f>
        <v>332000818.1759612</v>
      </c>
    </row>
    <row r="11" spans="1:11" x14ac:dyDescent="0.25">
      <c r="A11" t="s">
        <v>54</v>
      </c>
      <c r="B11" s="18">
        <f>-B6*B19</f>
        <v>-350347067.9144501</v>
      </c>
      <c r="C11" s="18">
        <f>-C6*C19</f>
        <v>-400338044.91884327</v>
      </c>
      <c r="D11" s="18">
        <f>-D6*D19</f>
        <v>-452947674.2915647</v>
      </c>
      <c r="E11" s="18">
        <f>-E6*E19</f>
        <v>-507430344.0833934</v>
      </c>
      <c r="F11" s="18">
        <f>-F6*F19</f>
        <v>-562886941.155063</v>
      </c>
      <c r="G11" s="18">
        <f>-G6*G19</f>
        <v>-618282085.6846124</v>
      </c>
      <c r="H11" s="18">
        <f>-H6*H19</f>
        <v>-672470358.1714712</v>
      </c>
      <c r="I11" s="18">
        <f>-I6*I19</f>
        <v>-724231035.0252007</v>
      </c>
      <c r="J11" s="18">
        <f>-J6*J19</f>
        <v>-772310198.0110935</v>
      </c>
      <c r="K11" s="18">
        <f>-K6*K19</f>
        <v>-815468444.9713315</v>
      </c>
    </row>
    <row r="12" spans="1:11" x14ac:dyDescent="0.25">
      <c r="A12" t="s">
        <v>55</v>
      </c>
      <c r="B12" s="18">
        <f>-(B6-Assumptions!B29)*Assumptions!B11</f>
        <v>-197782778.9705429</v>
      </c>
      <c r="C12" s="18">
        <f>-(C6-B6)*Assumptions!B11</f>
        <v>-191015768.16430905</v>
      </c>
      <c r="D12" s="18">
        <f>-(D6-C6)*Assumptions!B11</f>
        <v>-190318430.30970955</v>
      </c>
      <c r="E12" s="18">
        <f>-(E6-D6)*Assumptions!B11</f>
        <v>-186028244.1068314</v>
      </c>
      <c r="F12" s="18">
        <f>-(F6-E6)*Assumptions!B11</f>
        <v>-177908450.1950076</v>
      </c>
      <c r="G12" s="18">
        <f>-(G6-F6)*Assumptions!B11</f>
        <v>-165840647.05020884</v>
      </c>
      <c r="H12" s="18">
        <f>-(H6-G6)*Assumptions!B11</f>
        <v>-149841996.11979923</v>
      </c>
      <c r="I12" s="18">
        <f>-(I6-H6)*Assumptions!B11</f>
        <v>-130076601.4101422</v>
      </c>
      <c r="J12" s="18">
        <f>-(J6-I6)*Assumptions!B11</f>
        <v>-106859749.01466694</v>
      </c>
      <c r="K12" s="18">
        <f>-(K6-J6)*Assumptions!B11</f>
        <v>-80654090.65017752</v>
      </c>
    </row>
    <row r="13" spans="1:11" x14ac:dyDescent="0.25">
      <c r="A13" s="19" t="s">
        <v>56</v>
      </c>
      <c r="B13" s="20">
        <f>B9+B10+B11+B12</f>
        <v>1405683558.1135194</v>
      </c>
      <c r="C13" s="20">
        <f>C9+C10+C11+C12</f>
        <v>1556005332.1980038</v>
      </c>
      <c r="D13" s="20">
        <f>D9+D10+D11+D12</f>
        <v>1696932206.9838812</v>
      </c>
      <c r="E13" s="20">
        <f>E9+E10+E11+E12</f>
        <v>1835231880.6924691</v>
      </c>
      <c r="F13" s="20">
        <f>F9+F10+F11+F12</f>
        <v>1968159895.5968125</v>
      </c>
      <c r="G13" s="20">
        <f>G9+G10+G11+G12</f>
        <v>2092869733.0834692</v>
      </c>
      <c r="H13" s="20">
        <f>H9+H10+H11+H12</f>
        <v>2206506739.994096</v>
      </c>
      <c r="I13" s="20">
        <f>I9+I10+I11+I12</f>
        <v>2306310902.2378836</v>
      </c>
      <c r="J13" s="20">
        <f>J9+J10+J11+J12</f>
        <v>2389723680.2865915</v>
      </c>
      <c r="K13" s="20">
        <f>K9+K10+K11+K12</f>
        <v>2454493432.373651</v>
      </c>
    </row>
    <row r="14" spans="1:11" x14ac:dyDescent="0.25">
      <c r="A14" t="s">
        <v>57</v>
      </c>
      <c r="B14" s="21">
        <f>1/(1+Assumptions!$B$26)^(1-0.5*Assumptions!$B$32)</f>
        <v>0.9592132195983282</v>
      </c>
      <c r="C14" s="21">
        <f>1/(1+Assumptions!$B$26)^(2-0.5*Assumptions!$B$32)</f>
        <v>0.8825624918458154</v>
      </c>
      <c r="D14" s="21">
        <f>1/(1+Assumptions!$B$26)^(3-0.5*Assumptions!$B$32)</f>
        <v>0.8120369236980153</v>
      </c>
      <c r="E14" s="21">
        <f>1/(1+Assumptions!$B$26)^(4-0.5*Assumptions!$B$32)</f>
        <v>0.7471470536549096</v>
      </c>
      <c r="F14" s="21">
        <f>1/(1+Assumptions!$B$26)^(5-0.5*Assumptions!$B$32)</f>
        <v>0.687442533084628</v>
      </c>
      <c r="G14" s="21">
        <f>1/(1+Assumptions!$B$26)^(6-0.5*Assumptions!$B$32)</f>
        <v>0.6325090007141788</v>
      </c>
      <c r="H14" s="21">
        <f>1/(1+Assumptions!$B$26)^(7-0.5*Assumptions!$B$32)</f>
        <v>0.5819652068796252</v>
      </c>
      <c r="I14" s="21">
        <f>1/(1+Assumptions!$B$26)^(8-0.5*Assumptions!$B$32)</f>
        <v>0.5354603675774264</v>
      </c>
      <c r="J14" s="21">
        <f>1/(1+Assumptions!$B$26)^(9-0.5*Assumptions!$B$32)</f>
        <v>0.4926717299535365</v>
      </c>
      <c r="K14" s="21">
        <f>1/(1+Assumptions!$B$26)^(10-0.5*Assumptions!$B$32)</f>
        <v>0.4533023323342652</v>
      </c>
    </row>
    <row r="15" spans="1:11" x14ac:dyDescent="0.25">
      <c r="A15" s="19" t="s">
        <v>58</v>
      </c>
      <c r="B15" s="20">
        <f>B13*B14</f>
        <v>1348350251.5145025</v>
      </c>
      <c r="C15" s="20">
        <f>C13*C14</f>
        <v>1373271943.310046</v>
      </c>
      <c r="D15" s="20">
        <f>D13*D14</f>
        <v>1377971609.0832746</v>
      </c>
      <c r="E15" s="20">
        <f>E13*E14</f>
        <v>1371188092.432937</v>
      </c>
      <c r="F15" s="20">
        <f>F13*F14</f>
        <v>1352996824.1446497</v>
      </c>
      <c r="G15" s="20">
        <f>G13*G14</f>
        <v>1323758943.4975753</v>
      </c>
      <c r="H15" s="20">
        <f>H13*H14</f>
        <v>1284110151.4219513</v>
      </c>
      <c r="I15" s="20">
        <f>I13*I14</f>
        <v>1234938083.460123</v>
      </c>
      <c r="J15" s="20">
        <f>J13*J14</f>
        <v>1177349299.677727</v>
      </c>
      <c r="K15" s="20">
        <f>K13*K14</f>
        <v>1112627597.5941122</v>
      </c>
    </row>
    <row r="17" spans="1:2" x14ac:dyDescent="0.25">
      <c r="A17" s="22" t="s">
        <v>59</v>
      </c>
      <c r="B17" s="23">
        <f>SUM(B15:K15)</f>
        <v>12956562796.136898</v>
      </c>
    </row>
    <row r="19" spans="1:11" x14ac:dyDescent="0.25">
      <c r="A19" t="s">
        <v>7</v>
      </c>
      <c r="B19" s="9">
        <f>Assumptions!$B$10+($B$20-Assumptions!$B$10)*0/9</f>
        <v>0.051818184475891316</v>
      </c>
      <c r="C19" s="9">
        <f>Assumptions!$B$10+($B$20-Assumptions!$B$10)*1/9</f>
        <v>0.053875209046035925</v>
      </c>
      <c r="D19" s="9">
        <f>Assumptions!$B$10+($B$20-Assumptions!$B$10)*2/9</f>
        <v>0.055932233616180535</v>
      </c>
      <c r="E19" s="9">
        <f>Assumptions!$B$10+($B$20-Assumptions!$B$10)*3/9</f>
        <v>0.057989258186325145</v>
      </c>
      <c r="F19" s="9">
        <f>Assumptions!$B$10+($B$20-Assumptions!$B$10)*4/9</f>
        <v>0.060046282756469754</v>
      </c>
      <c r="G19" s="9">
        <f>Assumptions!$B$10+($B$20-Assumptions!$B$10)*5/9</f>
        <v>0.06210330732661437</v>
      </c>
      <c r="H19" s="9">
        <f>Assumptions!$B$10+($B$20-Assumptions!$B$10)*6/9</f>
        <v>0.06416033189675897</v>
      </c>
      <c r="I19" s="9">
        <f>Assumptions!$B$10+($B$20-Assumptions!$B$10)*7/9</f>
        <v>0.06621735646690359</v>
      </c>
      <c r="J19" s="9">
        <f>Assumptions!$B$10+($B$20-Assumptions!$B$10)*8/9</f>
        <v>0.06827438103704819</v>
      </c>
      <c r="K19" s="9">
        <f>Assumptions!$B$10+($B$20-Assumptions!$B$10)*9/9</f>
        <v>0.07033140560719281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0.07033140560719281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2454493432.373651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3018615149.819199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0.16016206200526345</v>
      </c>
    </row>
    <row r="7" spans="1:2" x14ac:dyDescent="0.25">
      <c r="A7" t="s">
        <v>66</v>
      </c>
      <c r="B7" s="18">
        <f>-MAX(B5,0)*B6</f>
        <v>-483467626.79537016</v>
      </c>
    </row>
    <row r="8" spans="1:2" x14ac:dyDescent="0.25">
      <c r="A8" t="s">
        <v>67</v>
      </c>
      <c r="B8" s="18">
        <f>IF(OR(Assumptions!$B$33=0,Assumptions!B12&lt;=0),B5,MAX(B5+B7,0))</f>
        <v>2535147523.023829</v>
      </c>
    </row>
    <row r="9" spans="1:2" x14ac:dyDescent="0.25">
      <c r="A9" t="s">
        <v>68</v>
      </c>
      <c r="B9" s="18">
        <f>B8*(1+Assumptions!B12)/(Assumptions!B26-Assumptions!B12)</f>
        <v>42013223354.478874</v>
      </c>
    </row>
    <row r="10" spans="1:2" x14ac:dyDescent="0.25">
      <c r="A10" t="s">
        <v>69</v>
      </c>
      <c r="B10" s="18">
        <f>B9/(1+Assumptions!B26)^(10-0.5*Assumptions!B32)</f>
        <v>19044692135.465694</v>
      </c>
    </row>
    <row r="11" spans="1:2" x14ac:dyDescent="0.25">
      <c r="A11" t="s">
        <v>70</v>
      </c>
      <c r="B11" s="18">
        <f>Forecast!B17+B10</f>
        <v>32001254931.602592</v>
      </c>
    </row>
    <row r="12" spans="1:2" x14ac:dyDescent="0.25">
      <c r="A12" t="s">
        <v>71</v>
      </c>
      <c r="B12" s="18">
        <f>-Assumptions!B30</f>
        <v>3520900000</v>
      </c>
    </row>
    <row r="13" spans="1:2" x14ac:dyDescent="0.25">
      <c r="A13" t="s">
        <v>72</v>
      </c>
      <c r="B13" s="18">
        <f>B11+B12</f>
        <v>35522154931.60259</v>
      </c>
    </row>
    <row r="14" spans="1:2" x14ac:dyDescent="0.25">
      <c r="A14" s="19" t="s">
        <v>73</v>
      </c>
      <c r="B14" s="24">
        <f>B13/Assumptions!B31</f>
        <v>60.638707633326376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3761674511.1586037</v>
      </c>
    </row>
    <row r="18" spans="1:2" x14ac:dyDescent="0.25">
      <c r="A18" t="s">
        <v>68</v>
      </c>
      <c r="B18" s="18">
        <f>B17*Assumptions!B13</f>
        <v>75233490223.17207</v>
      </c>
    </row>
    <row r="19" spans="1:2" x14ac:dyDescent="0.25">
      <c r="A19" t="s">
        <v>69</v>
      </c>
      <c r="B19" s="18">
        <f>B18/(1+Assumptions!B26)^(10-0.5*Assumptions!B32)</f>
        <v>34103516587.81104</v>
      </c>
    </row>
    <row r="20" spans="1:2" x14ac:dyDescent="0.25">
      <c r="A20" t="s">
        <v>70</v>
      </c>
      <c r="B20" s="18">
        <f>Forecast!B17+B19</f>
        <v>47060079383.94794</v>
      </c>
    </row>
    <row r="21" spans="1:2" x14ac:dyDescent="0.25">
      <c r="A21" t="s">
        <v>71</v>
      </c>
      <c r="B21" s="18">
        <f>-Assumptions!B30</f>
        <v>3520900000</v>
      </c>
    </row>
    <row r="22" spans="1:2" x14ac:dyDescent="0.25">
      <c r="A22" t="s">
        <v>72</v>
      </c>
      <c r="B22" s="18">
        <f>B20+B21</f>
        <v>50580979383.94794</v>
      </c>
    </row>
    <row r="23" spans="1:2" x14ac:dyDescent="0.25">
      <c r="A23" s="19" t="s">
        <v>73</v>
      </c>
      <c r="B23" s="25">
        <f>B22/Assumptions!B31</f>
        <v>86.34513380667111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92.01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60.638707633326376</v>
      </c>
    </row>
    <row r="29" spans="1:2" x14ac:dyDescent="0.25">
      <c r="A29" s="19" t="s">
        <v>81</v>
      </c>
      <c r="B29" s="11">
        <f>B28/B26-1</f>
        <v>-0.3409552479803677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0.06685</v>
      </c>
      <c r="B5" s="31">
        <v>80.49714482575483</v>
      </c>
      <c r="C5" s="31">
        <v>83.60813468077436</v>
      </c>
      <c r="D5" s="31">
        <v>87.55508247470652</v>
      </c>
      <c r="E5" s="31">
        <v>92.67826959381158</v>
      </c>
      <c r="F5" s="31">
        <v>99.53165490394802</v>
      </c>
    </row>
    <row r="6" spans="1:6" x14ac:dyDescent="0.25">
      <c r="A6" s="30">
        <v>0.07685</v>
      </c>
      <c r="B6" s="31">
        <v>67.87018172579407</v>
      </c>
      <c r="C6" s="31">
        <v>69.48666131487171</v>
      </c>
      <c r="D6" s="31">
        <v>71.48549403323452</v>
      </c>
      <c r="E6" s="31">
        <v>73.98909817200905</v>
      </c>
      <c r="F6" s="31">
        <v>77.17839538725686</v>
      </c>
    </row>
    <row r="7" spans="1:6" x14ac:dyDescent="0.25">
      <c r="A7" s="30">
        <v>0.08685</v>
      </c>
      <c r="B7" s="31">
        <v>58.79677344308729</v>
      </c>
      <c r="C7" s="31">
        <v>59.623059309456806</v>
      </c>
      <c r="D7" s="32">
        <v>60.63888802773517</v>
      </c>
      <c r="E7" s="31">
        <v>61.894270904494675</v>
      </c>
      <c r="F7" s="31">
        <v>63.45851001065557</v>
      </c>
    </row>
    <row r="8" spans="1:6" x14ac:dyDescent="0.25">
      <c r="A8" s="30">
        <v>0.09685</v>
      </c>
      <c r="B8" s="31">
        <v>51.97183186083884</v>
      </c>
      <c r="C8" s="31">
        <v>52.352949377186015</v>
      </c>
      <c r="D8" s="31">
        <v>52.83268033502968</v>
      </c>
      <c r="E8" s="31">
        <v>53.433151908976406</v>
      </c>
      <c r="F8" s="31">
        <v>54.183646382640504</v>
      </c>
    </row>
    <row r="9" spans="1:6" x14ac:dyDescent="0.25">
      <c r="A9" s="30">
        <v>0.10685</v>
      </c>
      <c r="B9" s="31">
        <v>46.658834306241374</v>
      </c>
      <c r="C9" s="31">
        <v>46.77868351654426</v>
      </c>
      <c r="D9" s="31">
        <v>46.95105706525125</v>
      </c>
      <c r="E9" s="31">
        <v>47.186206937737225</v>
      </c>
      <c r="F9" s="31">
        <v>47.497238838340195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6067600000</v>
      </c>
      <c r="C5" s="18">
        <v>5439500000</v>
      </c>
      <c r="D5" s="18">
        <v>5010000000</v>
      </c>
      <c r="E5" s="18">
        <v>4464000000</v>
      </c>
      <c r="F5" s="6" t="s">
        <v>91</v>
      </c>
    </row>
    <row r="6" spans="1:6" x14ac:dyDescent="0.25">
      <c r="A6" t="s">
        <v>51</v>
      </c>
      <c r="B6" s="18">
        <v>1636200000</v>
      </c>
      <c r="C6" s="18">
        <v>1480100000</v>
      </c>
      <c r="D6" s="18">
        <v>1486200000</v>
      </c>
      <c r="E6" s="18">
        <v>1539100000</v>
      </c>
      <c r="F6" s="6" t="s">
        <v>92</v>
      </c>
    </row>
    <row r="7" spans="1:6" x14ac:dyDescent="0.25">
      <c r="A7" t="s">
        <v>93</v>
      </c>
      <c r="B7" s="18">
        <v>156600000</v>
      </c>
      <c r="C7" s="18">
        <v>155200000</v>
      </c>
      <c r="D7" s="18">
        <v>144900000</v>
      </c>
      <c r="E7" s="18">
        <v>139600000</v>
      </c>
      <c r="F7" s="6" t="s">
        <v>94</v>
      </c>
    </row>
    <row r="8" spans="1:6" x14ac:dyDescent="0.25">
      <c r="A8" t="s">
        <v>95</v>
      </c>
      <c r="B8" s="18">
        <v>260200000</v>
      </c>
      <c r="C8" s="18">
        <v>282400000</v>
      </c>
      <c r="D8" s="18">
        <v>266300000</v>
      </c>
      <c r="E8" s="18">
        <v>264800000</v>
      </c>
      <c r="F8" s="6" t="s">
        <v>96</v>
      </c>
    </row>
    <row r="9" spans="1:6" x14ac:dyDescent="0.25">
      <c r="A9" t="s">
        <v>97</v>
      </c>
      <c r="B9" s="18">
        <v>-154600000</v>
      </c>
      <c r="C9" s="18">
        <v>259300000</v>
      </c>
      <c r="D9" s="18">
        <v>526300000</v>
      </c>
      <c r="E9" s="18">
        <v>421400000</v>
      </c>
      <c r="F9" s="6" t="s">
        <v>98</v>
      </c>
    </row>
    <row r="10" spans="1:6" x14ac:dyDescent="0.25">
      <c r="A10" t="s">
        <v>99</v>
      </c>
      <c r="B10" s="18">
        <v>705400000</v>
      </c>
      <c r="C10" s="18">
        <v>700000000</v>
      </c>
      <c r="D10" s="18">
        <v>685100000</v>
      </c>
      <c r="E10" s="18">
        <v>691300000</v>
      </c>
      <c r="F10" s="6" t="s">
        <v>100</v>
      </c>
    </row>
    <row r="11" spans="1:6" x14ac:dyDescent="0.25">
      <c r="A11" t="s">
        <v>101</v>
      </c>
      <c r="B11" s="18">
        <v>4226300000</v>
      </c>
      <c r="C11" s="18">
        <v>3975900000</v>
      </c>
      <c r="D11" s="18">
        <v>1632800000</v>
      </c>
      <c r="E11" s="18">
        <v>1215300000</v>
      </c>
      <c r="F11" s="6" t="s">
        <v>102</v>
      </c>
    </row>
    <row r="12" spans="1:6" x14ac:dyDescent="0.25">
      <c r="A12" t="s">
        <v>34</v>
      </c>
      <c r="B12" s="34">
        <v>585800000</v>
      </c>
      <c r="C12" s="34">
        <v>599300000</v>
      </c>
      <c r="D12" s="34">
        <v>609400000</v>
      </c>
      <c r="E12" s="34">
        <v>624200000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