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<sst xmlns="http://schemas.openxmlformats.org/spreadsheetml/2006/main" count="113" uniqueCount="101">
  <si>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Edwards Lifesciences Corporation (EW)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</si>
  <si>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</si>
  <si>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</si>
  <si>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</si>
  <si>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</si>
  <si>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</si>
  <si>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</si>
  <si>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</si>
  <si>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</si>
  <si>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</si>
  <si>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</si>
  <si>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</si>
  <si>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</si>
  <si>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</si>
  <si>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</si>
  <si>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</si>
  <si>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</si>
  <si>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</si>
  <si>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</si>
  <si>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</si>
  <si>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</si>
  <si>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</si>
  <si>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</si>
  <si>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</si>
  <si>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</si>
  <si>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</si>
  <si>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</si>
  <si>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</si>
  <si>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</si>
  <si>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</si>
  <si>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</si>
  <si>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</si>
  <si>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</si>
  <si>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</si>
  <si>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</si>
  <si>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</si>
  <si>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</si>
  <si>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</si>
  <si>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</si>
  <si>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</si>
  <si>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</si>
  <si>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</si>
  <si>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</si>
  <si>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</si>
  <si>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</si>
  <si>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</si>
  <si>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</si>
  <si>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</si>
  <si>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</si>
  <si>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</si>
  <si>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</si>
  <si>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</si>
  <si>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</si>
  <si>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</si>
  <si>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</si>
  <si>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</si>
  <si>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</si>
  <si>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</si>
  <si>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</si>
  <si>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</si>
  <si>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</si>
  <si>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</si>
  <si>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</si>
  <si>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</si>
  <si>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</si>
  <si>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</si>
  <si>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</si>
  <si>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</si>
  <si>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</si>
  <si>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</si>
  <si>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</si>
  <si>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</si>
  <si>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</si>
  <si>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</si>
  <si>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</si>
  <si>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</si>
  <si>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</si>
  <si>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</si>
  <si>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</si>
  <si>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</si>
  <si>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</si>
  <si>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</si>
  <si>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</si>
  <si>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</si>
  <si>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</si>
  <si>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</si>
  <si>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</si>
  <si>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</si>
  <si>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</si>
  <si>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</si>
  <si>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</si>
  <si>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</si>
  <si>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</si>
  <si>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</si>
  <si>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</si>
  <si>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</si>
  <si>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</si>
  <si>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</si>
  <si>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5.2% of revenue against depreciation of 2.9%. A perpetuity has to be a steady state, so the terminal year uses maintenance capex at depreciation and then charges the reinvestment terminal growth requires (g/ROIC of NOPAT). The bridge is shown under Terminal Value.</t>
  </si>
  <si>
    <t>Current EV/EBITDA of 26.4x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</si>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</sst>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0.1077223514087009</v>
      </c>
    </row>
    <row r="7" spans="1:2" x14ac:dyDescent="0.25">
      <c r="A7" t="s">
        <v>5</v>
      </c>
      <c r="B7" s="6">
        <v>0.29579779952118346</v>
      </c>
    </row>
    <row r="8" spans="1:2" x14ac:dyDescent="0.25">
      <c r="A8" t="s">
        <v>6</v>
      </c>
      <c r="B8" s="6">
        <v>0.11985354291998636</v>
      </c>
    </row>
    <row r="9" spans="1:2" x14ac:dyDescent="0.25">
      <c r="A9" t="s">
        <v>7</v>
      </c>
      <c r="B9" s="6">
        <v>0.028633951870294987</v>
      </c>
    </row>
    <row r="10" spans="1:2" x14ac:dyDescent="0.25">
      <c r="A10" t="s">
        <v>8</v>
      </c>
      <c r="B10" s="6">
        <v>0.051818184475891316</v>
      </c>
    </row>
    <row r="11" spans="1:2" x14ac:dyDescent="0.25">
      <c r="A11" t="s">
        <v>9</v>
      </c>
      <c r="B11" s="6">
        <v>0.6037252619324797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0.15609189646408536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0.90084</v>
      </c>
      <c r="C19" s="8" t="s">
        <v>19</v>
      </c>
    </row>
    <row r="20" spans="1:2" x14ac:dyDescent="0.25">
      <c r="A20" t="s">
        <v>20</v>
      </c>
      <c r="B20" s="10">
        <f>B17+B19*B18</f>
        <v>0.09952620000000001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50873065472</v>
      </c>
    </row>
    <row r="23" spans="1:2" x14ac:dyDescent="0.25">
      <c r="A23" t="s">
        <v>24</v>
      </c>
      <c r="B23" s="11">
        <v>705400000</v>
      </c>
    </row>
    <row r="24" spans="1:2" x14ac:dyDescent="0.25">
      <c r="A24" t="s">
        <v>25</v>
      </c>
      <c r="B24" s="10">
        <f>B22/(B22+B23)</f>
        <v>0.9863237497753218</v>
      </c>
    </row>
    <row r="25" spans="1:2" x14ac:dyDescent="0.25">
      <c r="A25" t="s">
        <v>26</v>
      </c>
      <c r="B25" s="10">
        <f>1-B24</f>
        <v>0.013676250224678221</v>
      </c>
    </row>
    <row r="26" spans="1:2" x14ac:dyDescent="0.25">
      <c r="A26" t="s">
        <v>27</v>
      </c>
      <c r="B26" s="12">
        <f>B24*B20+B25*B21*(1-B8)</f>
        <v>0.09876666920189453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6067600000</v>
      </c>
      <c r="C29" s="8" t="s">
        <v>30</v>
      </c>
    </row>
    <row r="30" spans="1:2" x14ac:dyDescent="0.25">
      <c r="A30" t="s">
        <v>31</v>
      </c>
      <c r="B30" s="11">
        <v>-3520900000</v>
      </c>
    </row>
    <row r="31" spans="1:2" x14ac:dyDescent="0.25">
      <c r="A31" t="s">
        <v>32</v>
      </c>
      <c r="B31" s="13">
        <v>585800000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0.1077223514087009</v>
      </c>
      <c r="C5" s="10">
        <f>Assumptions!B6</f>
        <v>0.1077223514087009</v>
      </c>
      <c r="D5" s="10">
        <f>Assumptions!B6</f>
        <v>0.1077223514087009</v>
      </c>
      <c r="E5" s="10">
        <f>Assumptions!B6</f>
        <v>0.1077223514087009</v>
      </c>
      <c r="F5" s="10">
        <f>Assumptions!B6</f>
        <v>0.1077223514087009</v>
      </c>
    </row>
    <row r="6" spans="1:6" x14ac:dyDescent="0.25">
      <c r="A6" t="s">
        <v>43</v>
      </c>
      <c r="B6" s="18">
        <f>Assumptions!B29*(1+B5)</f>
        <v>6721216139.4074335</v>
      </c>
      <c r="C6" s="18">
        <f>B6*(1+C5)</f>
        <v>7445241346.270514</v>
      </c>
      <c r="D6" s="18">
        <f>C6*(1+D5)</f>
        <v>8247260250.896055</v>
      </c>
      <c r="E6" s="18">
        <f>D6*(1+E5)</f>
        <v>9135674517.802092</v>
      </c>
      <c r="F6" s="18">
        <f>E6*(1+F5)</f>
        <v>10119790858.564283</v>
      </c>
    </row>
    <row r="7" spans="1:6" x14ac:dyDescent="0.25">
      <c r="A7" t="s">
        <v>5</v>
      </c>
      <c r="B7" s="10">
        <f>Assumptions!B7</f>
        <v>0.29579779952118346</v>
      </c>
      <c r="C7" s="10">
        <f>Assumptions!B7</f>
        <v>0.29579779952118346</v>
      </c>
      <c r="D7" s="10">
        <f>Assumptions!B7</f>
        <v>0.29579779952118346</v>
      </c>
      <c r="E7" s="10">
        <f>Assumptions!B7</f>
        <v>0.29579779952118346</v>
      </c>
      <c r="F7" s="10">
        <f>Assumptions!B7</f>
        <v>0.29579779952118346</v>
      </c>
    </row>
    <row r="8" spans="1:6" x14ac:dyDescent="0.25">
      <c r="A8" t="s">
        <v>44</v>
      </c>
      <c r="B8" s="18">
        <f>B6*B7</f>
        <v>1988120944.1429827</v>
      </c>
      <c r="C8" s="18">
        <f>C6*C7</f>
        <v>2202286007.1309514</v>
      </c>
      <c r="D8" s="18">
        <f>D6*D7</f>
        <v>2439521434.2935767</v>
      </c>
      <c r="E8" s="18">
        <f>E6*E7</f>
        <v>2702312419.5076075</v>
      </c>
      <c r="F8" s="18">
        <f>F6*F7</f>
        <v>2993411867.577903</v>
      </c>
    </row>
    <row r="9" spans="1:6" x14ac:dyDescent="0.25">
      <c r="A9" t="s">
        <v>45</v>
      </c>
      <c r="B9" s="18">
        <f>B8*(1-Assumptions!B8)</f>
        <v>1749837605.2340178</v>
      </c>
      <c r="C9" s="18">
        <f>C8*(1-Assumptions!B8)</f>
        <v>1938334226.6531963</v>
      </c>
      <c r="D9" s="18">
        <f>D8*(1-Assumptions!B8)</f>
        <v>2147136147.3642447</v>
      </c>
      <c r="E9" s="18">
        <f>E8*(1-Assumptions!B8)</f>
        <v>2378430701.95294</v>
      </c>
      <c r="F9" s="18">
        <f>F8*(1-Assumptions!B8)</f>
        <v>2634640849.829958</v>
      </c>
    </row>
    <row r="10" spans="1:6" x14ac:dyDescent="0.25">
      <c r="A10" t="s">
        <v>46</v>
      </c>
      <c r="B10" s="18">
        <f>B6*Assumptions!B9</f>
        <v>192454979.44564232</v>
      </c>
      <c r="C10" s="18">
        <f>C6*Assumptions!B9</f>
        <v>213186682.37184015</v>
      </c>
      <c r="D10" s="18">
        <f>D6*Assumptions!B9</f>
        <v>236151653.0859546</v>
      </c>
      <c r="E10" s="18">
        <f>E6*Assumptions!B9</f>
        <v>261590464.44542545</v>
      </c>
      <c r="F10" s="18">
        <f>F6*Assumptions!B9</f>
        <v>289769604.3815809</v>
      </c>
    </row>
    <row r="11" spans="1:6" x14ac:dyDescent="0.25">
      <c r="A11" t="s">
        <v>47</v>
      </c>
      <c r="B11" s="18">
        <f>-B6*Assumptions!B10</f>
        <v>-348281217.8141524</v>
      </c>
      <c r="C11" s="18">
        <f>-C6*Assumptions!B10</f>
        <v>-385798889.54857886</v>
      </c>
      <c r="D11" s="18">
        <f>-D6*Assumptions!B10</f>
        <v>-427358053.1016175</v>
      </c>
      <c r="E11" s="18">
        <f>-E6*Assumptions!B10</f>
        <v>-473394067.4751682</v>
      </c>
      <c r="F11" s="18">
        <f>-F6*Assumptions!B10</f>
        <v>-524389189.5665226</v>
      </c>
    </row>
    <row r="12" spans="1:6" x14ac:dyDescent="0.25">
      <c r="A12" t="s">
        <v>48</v>
      </c>
      <c r="B12" s="18">
        <f>-(B6-Assumptions!B29)*Assumptions!B11</f>
        <v>-394604574.96704894</v>
      </c>
      <c r="C12" s="18">
        <f>-(C6-B6)*Assumptions!B11</f>
        <v>-437112307.65913075</v>
      </c>
      <c r="D12" s="18">
        <f>-(D6-C6)*Assumptions!B11</f>
        <v>-484199073.26985556</v>
      </c>
      <c r="E12" s="18">
        <f>-(E6-D6)*Assumptions!B11</f>
        <v>-536358135.99239874</v>
      </c>
      <c r="F12" s="18">
        <f>-(F6-E6)*Assumptions!B11</f>
        <v>-594135895.5986876</v>
      </c>
    </row>
    <row r="13" spans="1:6" x14ac:dyDescent="0.25">
      <c r="A13" s="19" t="s">
        <v>49</v>
      </c>
      <c r="B13" s="20">
        <f>B9+B10+B11+B12</f>
        <v>1199406791.8984587</v>
      </c>
      <c r="C13" s="20">
        <f>C9+C10+C11+C12</f>
        <v>1328609711.8173268</v>
      </c>
      <c r="D13" s="20">
        <f>D9+D10+D11+D12</f>
        <v>1471730674.078726</v>
      </c>
      <c r="E13" s="20">
        <f>E9+E10+E11+E12</f>
        <v>1630268962.9307985</v>
      </c>
      <c r="F13" s="20">
        <f>F9+F10+F11+F12</f>
        <v>1805885369.0463285</v>
      </c>
    </row>
    <row r="14" spans="1:6" x14ac:dyDescent="0.25">
      <c r="A14" t="s">
        <v>50</v>
      </c>
      <c r="B14" s="21">
        <f>1/(1+Assumptions!$B$26)^(1-0.5*Assumptions!$B$32)</f>
        <v>0.9539975549515932</v>
      </c>
      <c r="C14" s="21">
        <f>1/(1+Assumptions!$B$26)^(2-0.5*Assumptions!$B$32)</f>
        <v>0.8682439881840823</v>
      </c>
      <c r="D14" s="21">
        <f>1/(1+Assumptions!$B$26)^(3-0.5*Assumptions!$B$32)</f>
        <v>0.7901986950648442</v>
      </c>
      <c r="E14" s="21">
        <f>1/(1+Assumptions!$B$26)^(4-0.5*Assumptions!$B$32)</f>
        <v>0.7191687891650524</v>
      </c>
      <c r="F14" s="21">
        <f>1/(1+Assumptions!$B$26)^(5-0.5*Assumptions!$B$32)</f>
        <v>0.6545236666920661</v>
      </c>
    </row>
    <row r="15" spans="1:6" x14ac:dyDescent="0.25">
      <c r="A15" s="19" t="s">
        <v>51</v>
      </c>
      <c r="B15" s="20">
        <f>B13*B14</f>
        <v>1144231146.863464</v>
      </c>
      <c r="C15" s="20">
        <f>C13*C14</f>
        <v>1153557394.92838</v>
      </c>
      <c r="D15" s="20">
        <f>D13*D14</f>
        <v>1162959658.1439128</v>
      </c>
      <c r="E15" s="20">
        <f>E13*E14</f>
        <v>1172438556.0843081</v>
      </c>
      <c r="F15" s="20">
        <f>F13*F14</f>
        <v>1181994713.3737578</v>
      </c>
    </row>
    <row r="17" spans="1:2" x14ac:dyDescent="0.25">
      <c r="A17" s="22" t="s">
        <v>52</v>
      </c>
      <c r="B17" s="23">
        <f>SUM(B15:F15)</f>
        <v>5815181469.393824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1805885369.0463285</v>
      </c>
    </row>
    <row r="5" spans="1:2" x14ac:dyDescent="0.25">
      <c r="A5" t="s">
        <v>56</v>
      </c>
      <c r="B5" s="18">
        <f>IF(Assumptions!$B$33=0,B4,B4-Forecast!F11-Forecast!F10-Forecast!F12)</f>
        <v>2634640849.829958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0.16016206200526345</v>
      </c>
    </row>
    <row r="7" spans="1:2" x14ac:dyDescent="0.25">
      <c r="A7" t="s">
        <v>58</v>
      </c>
      <c r="B7" s="18">
        <f>-MAX(Forecast!F9,0)*B6</f>
        <v>-421969511.1520657</v>
      </c>
    </row>
    <row r="8" spans="1:2" x14ac:dyDescent="0.25">
      <c r="A8" t="s">
        <v>59</v>
      </c>
      <c r="B8" s="18">
        <f>IF(OR(Assumptions!$B$33=0,Assumptions!B12&lt;=0),B5,MAX(B5+B7,0))</f>
        <v>2212671338.677892</v>
      </c>
    </row>
    <row r="9" spans="1:2" x14ac:dyDescent="0.25">
      <c r="A9" t="s">
        <v>60</v>
      </c>
      <c r="B9" s="18">
        <f>B8*(1+Assumptions!B12)/(Assumptions!B26-Assumptions!B12)</f>
        <v>30745432140.056435</v>
      </c>
    </row>
    <row r="10" spans="1:2" x14ac:dyDescent="0.25">
      <c r="A10" t="s">
        <v>61</v>
      </c>
      <c r="B10" s="18">
        <f>B9/(1+Assumptions!B26)^(5-0.5*Assumptions!B32)</f>
        <v>20123612978.341835</v>
      </c>
    </row>
    <row r="11" spans="1:2" x14ac:dyDescent="0.25">
      <c r="A11" t="s">
        <v>62</v>
      </c>
      <c r="B11" s="18">
        <f>Forecast!B17+B10</f>
        <v>25938794447.735657</v>
      </c>
    </row>
    <row r="12" spans="1:2" x14ac:dyDescent="0.25">
      <c r="A12" t="s">
        <v>63</v>
      </c>
      <c r="B12" s="18">
        <f>-Assumptions!B30</f>
        <v>3520900000</v>
      </c>
    </row>
    <row r="13" spans="1:2" x14ac:dyDescent="0.25">
      <c r="A13" t="s">
        <v>64</v>
      </c>
      <c r="B13" s="18">
        <f>B11+B12</f>
        <v>29459694447.735657</v>
      </c>
    </row>
    <row r="14" spans="1:2" x14ac:dyDescent="0.25">
      <c r="A14" s="19" t="s">
        <v>65</v>
      </c>
      <c r="B14" s="24">
        <f>B13/Assumptions!B31</f>
        <v>50.28967983567029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3283181471.9594836</v>
      </c>
    </row>
    <row r="18" spans="1:2" x14ac:dyDescent="0.25">
      <c r="A18" t="s">
        <v>60</v>
      </c>
      <c r="B18" s="18">
        <f>B17*Assumptions!B13</f>
        <v>65663629439.189674</v>
      </c>
    </row>
    <row r="19" spans="1:2" x14ac:dyDescent="0.25">
      <c r="A19" t="s">
        <v>61</v>
      </c>
      <c r="B19" s="18">
        <f>B18/(1+Assumptions!B26)^(5-0.5*Assumptions!B32)</f>
        <v>42978399508.84752</v>
      </c>
    </row>
    <row r="20" spans="1:2" x14ac:dyDescent="0.25">
      <c r="A20" t="s">
        <v>62</v>
      </c>
      <c r="B20" s="18">
        <f>Forecast!B17+B19</f>
        <v>48793580978.24134</v>
      </c>
    </row>
    <row r="21" spans="1:2" x14ac:dyDescent="0.25">
      <c r="A21" t="s">
        <v>63</v>
      </c>
      <c r="B21" s="18">
        <f>-Assumptions!B30</f>
        <v>3520900000</v>
      </c>
    </row>
    <row r="22" spans="1:2" x14ac:dyDescent="0.25">
      <c r="A22" t="s">
        <v>64</v>
      </c>
      <c r="B22" s="18">
        <f>B20+B21</f>
        <v>52314480978.24134</v>
      </c>
    </row>
    <row r="23" spans="1:2" x14ac:dyDescent="0.25">
      <c r="A23" s="19" t="s">
        <v>65</v>
      </c>
      <c r="B23" s="25">
        <f>B22/Assumptions!B31</f>
        <v>89.30433762076022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88.26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50.28967983567029</v>
      </c>
    </row>
    <row r="29" spans="1:2" x14ac:dyDescent="0.25">
      <c r="A29" s="19" t="s">
        <v>73</v>
      </c>
      <c r="B29" s="12">
        <f>B28/B26-1</f>
        <v>-0.4302098364415331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0.078767</v>
      </c>
      <c r="B5" s="31">
        <v>62.41378312853324</v>
      </c>
      <c r="C5" s="31">
        <v>64.79604575376646</v>
      </c>
      <c r="D5" s="31">
        <v>67.60233092767389</v>
      </c>
      <c r="E5" s="31">
        <v>70.96306164593115</v>
      </c>
      <c r="F5" s="31">
        <v>75.06825968671008</v>
      </c>
    </row>
    <row r="6" spans="1:6" x14ac:dyDescent="0.25">
      <c r="A6" s="30">
        <v>0.088767</v>
      </c>
      <c r="B6" s="31">
        <v>54.318817257343895</v>
      </c>
      <c r="C6" s="31">
        <v>55.836858152125664</v>
      </c>
      <c r="D6" s="31">
        <v>57.57755119407341</v>
      </c>
      <c r="E6" s="31">
        <v>59.59772729522094</v>
      </c>
      <c r="F6" s="31">
        <v>61.97535706743047</v>
      </c>
    </row>
    <row r="7" spans="1:6" x14ac:dyDescent="0.25">
      <c r="A7" s="30">
        <v>0.098767</v>
      </c>
      <c r="B7" s="31">
        <v>48.178542402940195</v>
      </c>
      <c r="C7" s="31">
        <v>49.17299356078218</v>
      </c>
      <c r="D7" s="32">
        <v>50.28947172730946</v>
      </c>
      <c r="E7" s="31">
        <v>51.554594395364255</v>
      </c>
      <c r="F7" s="31">
        <v>53.00332741754918</v>
      </c>
    </row>
    <row r="8" spans="1:6" x14ac:dyDescent="0.25">
      <c r="A8" s="30">
        <v>0.108767</v>
      </c>
      <c r="B8" s="31">
        <v>43.36648777427915</v>
      </c>
      <c r="C8" s="31">
        <v>44.0277164495805</v>
      </c>
      <c r="D8" s="31">
        <v>44.75707472295287</v>
      </c>
      <c r="E8" s="31">
        <v>45.567536859901715</v>
      </c>
      <c r="F8" s="31">
        <v>46.475594759970804</v>
      </c>
    </row>
    <row r="9" spans="1:6" x14ac:dyDescent="0.25">
      <c r="A9" s="30">
        <v>0.118767</v>
      </c>
      <c r="B9" s="31">
        <v>39.497736260158284</v>
      </c>
      <c r="C9" s="31">
        <v>39.93892129588106</v>
      </c>
      <c r="D9" s="31">
        <v>40.41788532665981</v>
      </c>
      <c r="E9" s="31">
        <v>40.94101231191458</v>
      </c>
      <c r="F9" s="31">
        <v>41.51621042929455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6067600000</v>
      </c>
      <c r="C5" s="18">
        <v>5439500000</v>
      </c>
      <c r="D5" s="18">
        <v>5010000000</v>
      </c>
      <c r="E5" s="18">
        <v>4464000000</v>
      </c>
      <c r="F5" s="8" t="s">
        <v>84</v>
      </c>
    </row>
    <row r="6" spans="1:6" x14ac:dyDescent="0.25">
      <c r="A6" t="s">
        <v>44</v>
      </c>
      <c r="B6" s="18">
        <v>1636200000</v>
      </c>
      <c r="C6" s="18">
        <v>1480100000</v>
      </c>
      <c r="D6" s="18">
        <v>1486200000</v>
      </c>
      <c r="E6" s="18">
        <v>1539100000</v>
      </c>
      <c r="F6" s="8" t="s">
        <v>85</v>
      </c>
    </row>
    <row r="7" spans="1:6" x14ac:dyDescent="0.25">
      <c r="A7" t="s">
        <v>86</v>
      </c>
      <c r="B7" s="18">
        <v>156600000</v>
      </c>
      <c r="C7" s="18">
        <v>155200000</v>
      </c>
      <c r="D7" s="18">
        <v>144900000</v>
      </c>
      <c r="E7" s="18">
        <v>139600000</v>
      </c>
      <c r="F7" s="8" t="s">
        <v>87</v>
      </c>
    </row>
    <row r="8" spans="1:6" x14ac:dyDescent="0.25">
      <c r="A8" t="s">
        <v>88</v>
      </c>
      <c r="B8" s="18">
        <v>260200000</v>
      </c>
      <c r="C8" s="18">
        <v>282400000</v>
      </c>
      <c r="D8" s="18">
        <v>266300000</v>
      </c>
      <c r="E8" s="18">
        <v>264800000</v>
      </c>
      <c r="F8" s="8" t="s">
        <v>89</v>
      </c>
    </row>
    <row r="9" spans="1:6" x14ac:dyDescent="0.25">
      <c r="A9" t="s">
        <v>90</v>
      </c>
      <c r="B9" s="18">
        <v>-154600000</v>
      </c>
      <c r="C9" s="18">
        <v>259300000</v>
      </c>
      <c r="D9" s="18">
        <v>526300000</v>
      </c>
      <c r="E9" s="18">
        <v>421400000</v>
      </c>
      <c r="F9" s="8" t="s">
        <v>91</v>
      </c>
    </row>
    <row r="10" spans="1:6" x14ac:dyDescent="0.25">
      <c r="A10" t="s">
        <v>92</v>
      </c>
      <c r="B10" s="18">
        <v>705400000</v>
      </c>
      <c r="C10" s="18">
        <v>700000000</v>
      </c>
      <c r="D10" s="18">
        <v>685100000</v>
      </c>
      <c r="E10" s="18">
        <v>691300000</v>
      </c>
      <c r="F10" s="8" t="s">
        <v>93</v>
      </c>
    </row>
    <row r="11" spans="1:6" x14ac:dyDescent="0.25">
      <c r="A11" t="s">
        <v>94</v>
      </c>
      <c r="B11" s="18">
        <v>4226300000</v>
      </c>
      <c r="C11" s="18">
        <v>3975900000</v>
      </c>
      <c r="D11" s="18">
        <v>1632800000</v>
      </c>
      <c r="E11" s="18">
        <v>1215300000</v>
      </c>
      <c r="F11" s="8" t="s">
        <v>95</v>
      </c>
    </row>
    <row r="12" spans="1:6" x14ac:dyDescent="0.25">
      <c r="A12" t="s">
        <v>32</v>
      </c>
      <c r="B12" s="34">
        <v>585800000</v>
      </c>
      <c r="C12" s="34">
        <v>599300000</v>
      </c>
      <c r="D12" s="34">
        <v>609400000</v>
      </c>
      <c r="E12" s="34">
        <v>624200000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2026-09-19T00:06:35Z</dcterms:modified>
</cp:coreProperties>
</file>