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<sst xmlns="http://schemas.openxmlformats.org/spreadsheetml/2006/main" count="113" uniqueCount="101">
  <si>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Exelon Corporation (EXC)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</si>
  <si>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</si>
  <si>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</si>
  <si>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</si>
  <si>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</si>
  <si>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</si>
  <si>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</si>
  <si>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</si>
  <si>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</si>
  <si>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</si>
  <si>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</si>
  <si>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</si>
  <si>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</si>
  <si>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</si>
  <si>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</si>
  <si>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</si>
  <si>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</si>
  <si>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</si>
  <si>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</si>
  <si>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</si>
  <si>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</si>
  <si>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</si>
  <si>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</si>
  <si>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</si>
  <si>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</si>
  <si>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</si>
  <si>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</si>
  <si>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</si>
  <si>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</si>
  <si>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</si>
  <si>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</si>
  <si>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</si>
  <si>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</si>
  <si>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</si>
  <si>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</si>
  <si>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</si>
  <si>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</si>
  <si>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</si>
  <si>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</si>
  <si>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</si>
  <si>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</si>
  <si>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</si>
  <si>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</si>
  <si>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</si>
  <si>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</si>
  <si>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</si>
  <si>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</si>
  <si>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</si>
  <si>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</si>
  <si>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</si>
  <si>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</si>
  <si>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</si>
  <si>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</si>
  <si>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</si>
  <si>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</si>
  <si>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</si>
  <si>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</si>
  <si>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</si>
  <si>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</si>
  <si>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</si>
  <si>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</si>
  <si>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</si>
  <si>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</si>
  <si>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</si>
  <si>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</si>
  <si>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</si>
  <si>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</si>
  <si>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</si>
  <si>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</si>
  <si>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</si>
  <si>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</si>
  <si>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</si>
  <si>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</si>
  <si>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</si>
  <si>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</si>
  <si>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</si>
  <si>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</si>
  <si>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</si>
  <si>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</si>
  <si>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</si>
  <si>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</si>
  <si>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</si>
  <si>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</si>
  <si>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</si>
  <si>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</si>
  <si>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</si>
  <si>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</si>
  <si>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</si>
  <si>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</si>
  <si>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</si>
  <si>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</si>
  <si>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</si>
  <si>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</si>
  <si>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</si>
  <si>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</si>
  <si>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</si>
  <si>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</si>
  <si>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</si>
  <si>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</si>
  <si>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34.4% of revenue against depreciation of 13.1%.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</si>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</sst>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0.08336312473906027</v>
      </c>
    </row>
    <row r="7" spans="1:2" x14ac:dyDescent="0.25">
      <c r="A7" t="s">
        <v>5</v>
      </c>
      <c r="B7" s="6">
        <v>0.18942360105026446</v>
      </c>
    </row>
    <row r="8" spans="1:2" x14ac:dyDescent="0.25">
      <c r="A8" t="s">
        <v>6</v>
      </c>
      <c r="B8" s="6">
        <v>0.14182555546006673</v>
      </c>
    </row>
    <row r="9" spans="1:2" x14ac:dyDescent="0.25">
      <c r="A9" t="s">
        <v>7</v>
      </c>
      <c r="B9" s="6">
        <v>0.13139956527692628</v>
      </c>
    </row>
    <row r="10" spans="1:2" x14ac:dyDescent="0.25">
      <c r="A10" t="s">
        <v>8</v>
      </c>
      <c r="B10" s="6">
        <v>0.34384090383828125</v>
      </c>
    </row>
    <row r="11" spans="1:2" x14ac:dyDescent="0.25">
      <c r="A11" t="s">
        <v>9</v>
      </c>
      <c r="B11" s="6">
        <v>0.8055342044581092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11.329115183005738</v>
      </c>
    </row>
    <row r="14" spans="1:3" x14ac:dyDescent="0.25">
      <c r="A14" t="s">
        <v>12</v>
      </c>
      <c r="B14" s="6">
        <v>0.06125119051907154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0.59063</v>
      </c>
      <c r="C19" s="8" t="s">
        <v>19</v>
      </c>
    </row>
    <row r="20" spans="1:2" x14ac:dyDescent="0.25">
      <c r="A20" t="s">
        <v>20</v>
      </c>
      <c r="B20" s="10">
        <f>B17+B19*B18</f>
        <v>0.08246465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43342782464</v>
      </c>
    </row>
    <row r="23" spans="1:2" x14ac:dyDescent="0.25">
      <c r="A23" t="s">
        <v>24</v>
      </c>
      <c r="B23" s="11">
        <v>50080000000</v>
      </c>
    </row>
    <row r="24" spans="1:2" x14ac:dyDescent="0.25">
      <c r="A24" t="s">
        <v>25</v>
      </c>
      <c r="B24" s="10">
        <f>B22/(B22+B23)</f>
        <v>0.4639423202868307</v>
      </c>
    </row>
    <row r="25" spans="1:2" x14ac:dyDescent="0.25">
      <c r="A25" t="s">
        <v>26</v>
      </c>
      <c r="B25" s="10">
        <f>1-B24</f>
        <v>0.5360576797131693</v>
      </c>
    </row>
    <row r="26" spans="1:2" x14ac:dyDescent="0.25">
      <c r="A26" t="s">
        <v>27</v>
      </c>
      <c r="B26" s="12">
        <f>B24*B20+B25*B21*(1-B8)</f>
        <v>0.06125119051907154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24258000000</v>
      </c>
      <c r="C29" s="8" t="s">
        <v>30</v>
      </c>
    </row>
    <row r="30" spans="1:2" x14ac:dyDescent="0.25">
      <c r="A30" t="s">
        <v>31</v>
      </c>
      <c r="B30" s="11">
        <v>49454000000</v>
      </c>
    </row>
    <row r="31" spans="1:2" x14ac:dyDescent="0.25">
      <c r="A31" t="s">
        <v>32</v>
      </c>
      <c r="B31" s="13">
        <v>1022401000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0.08336312473906027</v>
      </c>
      <c r="C5" s="10">
        <f>Assumptions!B6</f>
        <v>0.08336312473906027</v>
      </c>
      <c r="D5" s="10">
        <f>Assumptions!B6</f>
        <v>0.08336312473906027</v>
      </c>
      <c r="E5" s="10">
        <f>Assumptions!B6</f>
        <v>0.08336312473906027</v>
      </c>
      <c r="F5" s="10">
        <f>Assumptions!B6</f>
        <v>0.08336312473906027</v>
      </c>
    </row>
    <row r="6" spans="1:6" x14ac:dyDescent="0.25">
      <c r="A6" t="s">
        <v>43</v>
      </c>
      <c r="B6" s="18">
        <f>Assumptions!B29*(1+B5)</f>
        <v>26280222679.920124</v>
      </c>
      <c r="C6" s="18">
        <f>B6*(1+C5)</f>
        <v>28471024161.356586</v>
      </c>
      <c r="D6" s="18">
        <f>C6*(1+D5)</f>
        <v>30844457699.968555</v>
      </c>
      <c r="E6" s="18">
        <f>D6*(1+E5)</f>
        <v>33415748074.719704</v>
      </c>
      <c r="F6" s="18">
        <f>E6*(1+F5)</f>
        <v>36201389249.72157</v>
      </c>
    </row>
    <row r="7" spans="1:6" x14ac:dyDescent="0.25">
      <c r="A7" t="s">
        <v>5</v>
      </c>
      <c r="B7" s="10">
        <f>Assumptions!B7</f>
        <v>0.18942360105026446</v>
      </c>
      <c r="C7" s="10">
        <f>Assumptions!B7</f>
        <v>0.18942360105026446</v>
      </c>
      <c r="D7" s="10">
        <f>Assumptions!B7</f>
        <v>0.18942360105026446</v>
      </c>
      <c r="E7" s="10">
        <f>Assumptions!B7</f>
        <v>0.18942360105026446</v>
      </c>
      <c r="F7" s="10">
        <f>Assumptions!B7</f>
        <v>0.18942360105026446</v>
      </c>
    </row>
    <row r="8" spans="1:6" x14ac:dyDescent="0.25">
      <c r="A8" t="s">
        <v>44</v>
      </c>
      <c r="B8" s="18">
        <f>B6*B7</f>
        <v>4978094416.433301</v>
      </c>
      <c r="C8" s="18">
        <f>C6*C7</f>
        <v>5393083922.233251</v>
      </c>
      <c r="D8" s="18">
        <f>D6*D7</f>
        <v>5842668249.970601</v>
      </c>
      <c r="E8" s="18">
        <f>E6*E7</f>
        <v>6329731332.101848</v>
      </c>
      <c r="F8" s="18">
        <f>F6*F7</f>
        <v>6857397514.704592</v>
      </c>
    </row>
    <row r="9" spans="1:6" x14ac:dyDescent="0.25">
      <c r="A9" t="s">
        <v>45</v>
      </c>
      <c r="B9" s="18">
        <f>B8*(1-Assumptions!B8)</f>
        <v>4272073410.6899915</v>
      </c>
      <c r="C9" s="18">
        <f>C8*(1-Assumptions!B8)</f>
        <v>4628206799.319765</v>
      </c>
      <c r="D9" s="18">
        <f>D8*(1-Assumptions!B8)</f>
        <v>5014028580.049624</v>
      </c>
      <c r="E9" s="18">
        <f>E8*(1-Assumptions!B8)</f>
        <v>5432013670.013515</v>
      </c>
      <c r="F9" s="18">
        <f>F8*(1-Assumptions!B8)</f>
        <v>5884843303.171132</v>
      </c>
    </row>
    <row r="10" spans="1:6" x14ac:dyDescent="0.25">
      <c r="A10" t="s">
        <v>46</v>
      </c>
      <c r="B10" s="18">
        <f>B6*Assumptions!B9</f>
        <v>3453209835.522323</v>
      </c>
      <c r="C10" s="18">
        <f>C6*Assumptions!B9</f>
        <v>3741080197.79112</v>
      </c>
      <c r="D10" s="18">
        <f>D6*Assumptions!B9</f>
        <v>4052948332.97841</v>
      </c>
      <c r="E10" s="18">
        <f>E6*Assumptions!B9</f>
        <v>4390814770.421455</v>
      </c>
      <c r="F10" s="18">
        <f>F6*Assumptions!B9</f>
        <v>4756846809.834208</v>
      </c>
    </row>
    <row r="11" spans="1:6" x14ac:dyDescent="0.25">
      <c r="A11" t="s">
        <v>47</v>
      </c>
      <c r="B11" s="18">
        <f>-B6*Assumptions!B10</f>
        <v>-9036215519.335033</v>
      </c>
      <c r="C11" s="18">
        <f>-C6*Assumptions!B10</f>
        <v>-9789502680.842392</v>
      </c>
      <c r="D11" s="18">
        <f>-D6*Assumptions!B10</f>
        <v>-10605586213.958822</v>
      </c>
      <c r="E11" s="18">
        <f>-E6*Assumptions!B10</f>
        <v>-11489701020.44393</v>
      </c>
      <c r="F11" s="18">
        <f>-F6*Assumptions!B10</f>
        <v>-12447518399.825705</v>
      </c>
    </row>
    <row r="12" spans="1:6" x14ac:dyDescent="0.25">
      <c r="A12" t="s">
        <v>48</v>
      </c>
      <c r="B12" s="18">
        <f>-(B6-Assumptions!B29)*Assumptions!B11</f>
        <v>-1628969537.7066028</v>
      </c>
      <c r="C12" s="18">
        <f>-(C6-B6)*Assumptions!B11</f>
        <v>-1764765528.474568</v>
      </c>
      <c r="D12" s="18">
        <f>-(D6-C6)*Assumptions!B11</f>
        <v>-1911881897.3599875</v>
      </c>
      <c r="E12" s="18">
        <f>-(E6-D6)*Assumptions!B11</f>
        <v>-2071262346.4559596</v>
      </c>
      <c r="F12" s="18">
        <f>-(F6-E6)*Assumptions!B11</f>
        <v>-2243929247.810883</v>
      </c>
    </row>
    <row r="13" spans="1:6" x14ac:dyDescent="0.25">
      <c r="A13" s="19" t="s">
        <v>49</v>
      </c>
      <c r="B13" s="20">
        <f>B9+B10+B11+B12</f>
        <v>-2939901810.829322</v>
      </c>
      <c r="C13" s="20">
        <f>C9+C10+C11+C12</f>
        <v>-3184981212.206074</v>
      </c>
      <c r="D13" s="20">
        <f>D9+D10+D11+D12</f>
        <v>-3450491198.2907753</v>
      </c>
      <c r="E13" s="20">
        <f>E9+E10+E11+E12</f>
        <v>-3738134926.464918</v>
      </c>
      <c r="F13" s="20">
        <f>F9+F10+F11+F12</f>
        <v>-4049757534.631247</v>
      </c>
    </row>
    <row r="14" spans="1:6" x14ac:dyDescent="0.25">
      <c r="A14" t="s">
        <v>50</v>
      </c>
      <c r="B14" s="21">
        <f>1/(1+Assumptions!$B$26)^(1-0.5*Assumptions!$B$32)</f>
        <v>0.9707131317557027</v>
      </c>
      <c r="C14" s="21">
        <f>1/(1+Assumptions!$B$26)^(2-0.5*Assumptions!$B$32)</f>
        <v>0.9146874372700723</v>
      </c>
      <c r="D14" s="21">
        <f>1/(1+Assumptions!$B$26)^(3-0.5*Assumptions!$B$32)</f>
        <v>0.8618953226546554</v>
      </c>
      <c r="E14" s="21">
        <f>1/(1+Assumptions!$B$26)^(4-0.5*Assumptions!$B$32)</f>
        <v>0.8121501585624524</v>
      </c>
      <c r="F14" s="21">
        <f>1/(1+Assumptions!$B$26)^(5-0.5*Assumptions!$B$32)</f>
        <v>0.7652760871488109</v>
      </c>
    </row>
    <row r="15" spans="1:6" x14ac:dyDescent="0.25">
      <c r="A15" s="19" t="s">
        <v>51</v>
      </c>
      <c r="B15" s="20">
        <f>B13*B14</f>
        <v>-2853801293.844393</v>
      </c>
      <c r="C15" s="20">
        <f>C13*C14</f>
        <v>-2913262302.7461023</v>
      </c>
      <c r="D15" s="20">
        <f>D13*D14</f>
        <v>-2973962224.6678762</v>
      </c>
      <c r="E15" s="20">
        <f>E13*E14</f>
        <v>-3035926873.256325</v>
      </c>
      <c r="F15" s="20">
        <f>F13*F14</f>
        <v>-3099182600.004016</v>
      </c>
    </row>
    <row r="17" spans="1:2" x14ac:dyDescent="0.25">
      <c r="A17" s="22" t="s">
        <v>52</v>
      </c>
      <c r="B17" s="23">
        <f>SUM(B15:F15)</f>
        <v>-14876135294.518711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-4049757534.631247</v>
      </c>
    </row>
    <row r="5" spans="1:2" x14ac:dyDescent="0.25">
      <c r="A5" t="s">
        <v>56</v>
      </c>
      <c r="B5" s="18">
        <f>IF(Assumptions!$B$33=0,B4,B4-Forecast!F11-Forecast!F10-Forecast!F12)</f>
        <v>5896247074.426797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0.4081553319721329</v>
      </c>
    </row>
    <row r="7" spans="1:2" x14ac:dyDescent="0.25">
      <c r="A7" t="s">
        <v>58</v>
      </c>
      <c r="B7" s="18">
        <f>-MAX(Forecast!F9,0)*B6</f>
        <v>-2406584682.0523868</v>
      </c>
    </row>
    <row r="8" spans="1:2" x14ac:dyDescent="0.25">
      <c r="A8" t="s">
        <v>59</v>
      </c>
      <c r="B8" s="18">
        <f>IF(OR(Assumptions!$B$33=0,Assumptions!B12&lt;=0),B5,MAX(B5+B7,0))</f>
        <v>3489662392.37441</v>
      </c>
    </row>
    <row r="9" spans="1:2" x14ac:dyDescent="0.25">
      <c r="A9" t="s">
        <v>60</v>
      </c>
      <c r="B9" s="18">
        <f>B8*(1+Assumptions!B12)/(Assumptions!B26-Assumptions!B12)</f>
        <v>98669971964.14783</v>
      </c>
    </row>
    <row r="10" spans="1:2" x14ac:dyDescent="0.25">
      <c r="A10" t="s">
        <v>61</v>
      </c>
      <c r="B10" s="18">
        <f>B9/(1+Assumptions!B26)^(5-0.5*Assumptions!B32)</f>
        <v>75509770063.80592</v>
      </c>
    </row>
    <row r="11" spans="1:2" x14ac:dyDescent="0.25">
      <c r="A11" t="s">
        <v>62</v>
      </c>
      <c r="B11" s="18">
        <f>Forecast!B17+B10</f>
        <v>60633634769.28722</v>
      </c>
    </row>
    <row r="12" spans="1:2" x14ac:dyDescent="0.25">
      <c r="A12" t="s">
        <v>63</v>
      </c>
      <c r="B12" s="18">
        <f>-Assumptions!B30</f>
        <v>-49454000000</v>
      </c>
    </row>
    <row r="13" spans="1:2" x14ac:dyDescent="0.25">
      <c r="A13" t="s">
        <v>64</v>
      </c>
      <c r="B13" s="18">
        <f>B11+B12</f>
        <v>11179634769.287216</v>
      </c>
    </row>
    <row r="14" spans="1:2" x14ac:dyDescent="0.25">
      <c r="A14" s="19" t="s">
        <v>65</v>
      </c>
      <c r="B14" s="24">
        <f>B13/Assumptions!B31</f>
        <v>10.934686849178762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11614244324.5388</v>
      </c>
    </row>
    <row r="18" spans="1:2" x14ac:dyDescent="0.25">
      <c r="A18" t="s">
        <v>60</v>
      </c>
      <c r="B18" s="18">
        <f>B17*Assumptions!B13</f>
        <v>131579111716.27074</v>
      </c>
    </row>
    <row r="19" spans="1:2" x14ac:dyDescent="0.25">
      <c r="A19" t="s">
        <v>61</v>
      </c>
      <c r="B19" s="18">
        <f>B18/(1+Assumptions!B26)^(5-0.5*Assumptions!B32)</f>
        <v>100694347764.74393</v>
      </c>
    </row>
    <row r="20" spans="1:2" x14ac:dyDescent="0.25">
      <c r="A20" t="s">
        <v>62</v>
      </c>
      <c r="B20" s="18">
        <f>Forecast!B17+B19</f>
        <v>85818212470.22522</v>
      </c>
    </row>
    <row r="21" spans="1:2" x14ac:dyDescent="0.25">
      <c r="A21" t="s">
        <v>63</v>
      </c>
      <c r="B21" s="18">
        <f>-Assumptions!B30</f>
        <v>-49454000000</v>
      </c>
    </row>
    <row r="22" spans="1:2" x14ac:dyDescent="0.25">
      <c r="A22" t="s">
        <v>64</v>
      </c>
      <c r="B22" s="18">
        <f>B20+B21</f>
        <v>36364212470.22522</v>
      </c>
    </row>
    <row r="23" spans="1:2" x14ac:dyDescent="0.25">
      <c r="A23" s="19" t="s">
        <v>65</v>
      </c>
      <c r="B23" s="25">
        <f>B22/Assumptions!B31</f>
        <v>35.56746567171317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42.07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10.934686849178762</v>
      </c>
    </row>
    <row r="29" spans="1:2" x14ac:dyDescent="0.25">
      <c r="A29" s="19" t="s">
        <v>73</v>
      </c>
      <c r="B29" s="12">
        <f>B28/B26-1</f>
        <v>-0.7400835072693425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0.041251</v>
      </c>
      <c r="B5" s="31">
        <v>66.2606598653366</v>
      </c>
      <c r="C5" s="31">
        <v>74.4479106879236</v>
      </c>
      <c r="D5" s="31">
        <v>87.37613435129033</v>
      </c>
      <c r="E5" s="31">
        <v>111.36606613334071</v>
      </c>
      <c r="F5" s="31">
        <v>172.96155850252055</v>
      </c>
    </row>
    <row r="6" spans="1:6" x14ac:dyDescent="0.25">
      <c r="A6" s="30">
        <v>0.051251</v>
      </c>
      <c r="B6" s="31">
        <v>27.933015138135993</v>
      </c>
      <c r="C6" s="31">
        <v>28.382322123024966</v>
      </c>
      <c r="D6" s="31">
        <v>28.83162910791391</v>
      </c>
      <c r="E6" s="31">
        <v>29.280936092802865</v>
      </c>
      <c r="F6" s="31">
        <v>29.730243077691824</v>
      </c>
    </row>
    <row r="7" spans="1:6" x14ac:dyDescent="0.25">
      <c r="A7" s="30">
        <v>0.061251</v>
      </c>
      <c r="B7" s="31">
        <v>10.214426906940854</v>
      </c>
      <c r="C7" s="31">
        <v>10.57469825355587</v>
      </c>
      <c r="D7" s="32">
        <v>10.934969600170824</v>
      </c>
      <c r="E7" s="31">
        <v>11.295240946785807</v>
      </c>
      <c r="F7" s="31">
        <v>11.655512293400808</v>
      </c>
    </row>
    <row r="8" spans="1:6" x14ac:dyDescent="0.25">
      <c r="A8" s="30">
        <v>0.071251</v>
      </c>
      <c r="B8" s="31">
        <v>-2.3067643526240005</v>
      </c>
      <c r="C8" s="31">
        <v>-2.00985569123121</v>
      </c>
      <c r="D8" s="31">
        <v>-1.7129470298384493</v>
      </c>
      <c r="E8" s="31">
        <v>-1.4160383684456739</v>
      </c>
      <c r="F8" s="31">
        <v>-1.1191297070528834</v>
      </c>
    </row>
    <row r="9" spans="1:6" x14ac:dyDescent="0.25">
      <c r="A9" s="30">
        <v>0.081251</v>
      </c>
      <c r="B9" s="31">
        <v>-11.561258848552333</v>
      </c>
      <c r="C9" s="31">
        <v>-11.311554360534497</v>
      </c>
      <c r="D9" s="31">
        <v>-11.061849872516708</v>
      </c>
      <c r="E9" s="31">
        <v>-10.812145384498875</v>
      </c>
      <c r="F9" s="31">
        <v>-10.562440896481085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24258000000</v>
      </c>
      <c r="C5" s="18">
        <v>23028000000</v>
      </c>
      <c r="D5" s="18">
        <v>21727000000</v>
      </c>
      <c r="E5" s="18">
        <v>19078000000</v>
      </c>
      <c r="F5" s="8" t="s">
        <v>84</v>
      </c>
    </row>
    <row r="6" spans="1:6" x14ac:dyDescent="0.25">
      <c r="A6" t="s">
        <v>44</v>
      </c>
      <c r="B6" s="18">
        <v>5145000000</v>
      </c>
      <c r="C6" s="18">
        <v>4307000000</v>
      </c>
      <c r="D6" s="18">
        <v>4013000000</v>
      </c>
      <c r="E6" s="18">
        <v>3317000000</v>
      </c>
      <c r="F6" s="8" t="s">
        <v>85</v>
      </c>
    </row>
    <row r="7" spans="1:6" x14ac:dyDescent="0.25">
      <c r="A7" t="s">
        <v>86</v>
      </c>
      <c r="B7" s="18">
        <v>3046000000</v>
      </c>
      <c r="C7" s="18">
        <v>2918000000</v>
      </c>
      <c r="D7" s="18">
        <v>2786000000</v>
      </c>
      <c r="E7" s="18">
        <v>2768000000</v>
      </c>
      <c r="F7" s="8" t="s">
        <v>87</v>
      </c>
    </row>
    <row r="8" spans="1:6" x14ac:dyDescent="0.25">
      <c r="A8" t="s">
        <v>88</v>
      </c>
      <c r="B8" s="18">
        <v>8529000000</v>
      </c>
      <c r="C8" s="18">
        <v>7097000000</v>
      </c>
      <c r="D8" s="18">
        <v>7408000000</v>
      </c>
      <c r="E8" s="18">
        <v>7147000000</v>
      </c>
      <c r="F8" s="8" t="s">
        <v>89</v>
      </c>
    </row>
    <row r="9" spans="1:6" x14ac:dyDescent="0.25">
      <c r="A9" t="s">
        <v>90</v>
      </c>
      <c r="B9" s="18">
        <v>1524000000</v>
      </c>
      <c r="C9" s="18">
        <v>1048000000</v>
      </c>
      <c r="D9" s="18">
        <v>852000000</v>
      </c>
      <c r="E9" s="18">
        <v>2260000000</v>
      </c>
      <c r="F9" s="8" t="s">
        <v>91</v>
      </c>
    </row>
    <row r="10" spans="1:6" x14ac:dyDescent="0.25">
      <c r="A10" t="s">
        <v>92</v>
      </c>
      <c r="B10" s="18">
        <v>50080000000</v>
      </c>
      <c r="C10" s="18">
        <v>46649000000</v>
      </c>
      <c r="D10" s="18">
        <v>44008000000</v>
      </c>
      <c r="E10" s="18">
        <v>40050000000</v>
      </c>
      <c r="F10" s="8" t="s">
        <v>93</v>
      </c>
    </row>
    <row r="11" spans="1:6" x14ac:dyDescent="0.25">
      <c r="A11" t="s">
        <v>94</v>
      </c>
      <c r="B11" s="18">
        <v>626000000</v>
      </c>
      <c r="C11" s="18">
        <v>357000000</v>
      </c>
      <c r="D11" s="18">
        <v>445000000</v>
      </c>
      <c r="E11" s="18">
        <v>407000000</v>
      </c>
      <c r="F11" s="8" t="s">
        <v>95</v>
      </c>
    </row>
    <row r="12" spans="1:6" x14ac:dyDescent="0.25">
      <c r="A12" t="s">
        <v>32</v>
      </c>
      <c r="B12" s="34">
        <v>1022401000</v>
      </c>
      <c r="C12" s="34">
        <v>1005046000</v>
      </c>
      <c r="D12" s="34">
        <v>999000000</v>
      </c>
      <c r="E12" s="34">
        <v>1043269231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