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<sst xmlns="http://schemas.openxmlformats.org/spreadsheetml/2006/main" count="122" uniqueCount="109">
  <si>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Exelon Corporation (EXC)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</si>
  <si>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</si>
  <si>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</si>
  <si>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</si>
  <si>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</si>
  <si>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</si>
  <si>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</si>
  <si>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</si>
  <si>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</si>
  <si>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</si>
  <si>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</si>
  <si>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</si>
  <si>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</si>
  <si>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</si>
  <si>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</si>
  <si>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</si>
  <si>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</si>
  <si>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</si>
  <si>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</si>
  <si>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</si>
  <si>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</si>
  <si>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</si>
  <si>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</si>
  <si>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</si>
  <si>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+ 138bp, the spread for a BB+ rating at 2.4x interest cover. Book interest / average debt was lower, at 4.4%.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</si>
  <si>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</si>
  <si>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</si>
  <si>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</si>
  <si>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</si>
  <si>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</si>
  <si>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</si>
  <si>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</si>
  <si>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</si>
  <si>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</si>
  <si>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</si>
  <si>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</si>
  <si>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</si>
  <si>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</si>
  <si>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</si>
  <si>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</si>
  <si>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</si>
  <si>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</si>
  <si>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</si>
  <si>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</si>
  <si>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</si>
  <si>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</si>
  <si>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</si>
  <si>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</si>
  <si>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</si>
  <si>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</si>
  <si>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</si>
  <si>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</si>
  <si>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</si>
  <si>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</si>
  <si>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</si>
  <si>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</si>
  <si>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</si>
  <si>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</si>
  <si>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</si>
  <si>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</si>
  <si>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</si>
  <si>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</si>
  <si>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</si>
  <si>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</si>
  <si>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</si>
  <si>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</si>
  <si>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</si>
  <si>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</si>
  <si>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</si>
  <si>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</si>
  <si>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</si>
  <si>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</si>
  <si>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</si>
  <si>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</si>
  <si>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</si>
  <si>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</si>
  <si>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</si>
  <si>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</si>
  <si>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</si>
  <si>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</si>
  <si>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</si>
  <si>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</si>
  <si>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</si>
  <si>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</si>
  <si>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</si>
  <si>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</si>
  <si>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</si>
  <si>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</si>
  <si>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</si>
  <si>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</si>
  <si>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</si>
  <si>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</si>
  <si>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</si>
  <si>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</si>
  <si>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</si>
  <si>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</si>
  <si>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</si>
  <si>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</si>
  <si>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</si>
  <si>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</si>
  <si>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</si>
  <si>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</si>
  <si>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</si>
  <si>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</si>
  <si>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</si>
  <si>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4.8%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</si>
  <si>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Free cashflow is negative in at least one forecast year, so terminal value carries most of the valuation.</t>
  </si>
  <si>
    <t>Adjusted: Capital expenditure runs at 34.4% of revenue against depreciation of 13.1%.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</si>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</sst>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0.05149494929507781</v>
      </c>
    </row>
    <row r="7" spans="1:2" x14ac:dyDescent="0.25">
      <c r="A7" t="s">
        <v>4</v>
      </c>
      <c r="B7" s="5">
        <v>0.18942360105026446</v>
      </c>
    </row>
    <row r="8" spans="1:2" x14ac:dyDescent="0.25">
      <c r="A8" t="s">
        <v>5</v>
      </c>
      <c r="B8" s="5">
        <v>0.14182555546006673</v>
      </c>
    </row>
    <row r="9" spans="1:2" x14ac:dyDescent="0.25">
      <c r="A9" t="s">
        <v>6</v>
      </c>
      <c r="B9" s="5">
        <v>0.13139956527692628</v>
      </c>
    </row>
    <row r="10" spans="1:3" x14ac:dyDescent="0.25">
      <c r="A10" t="s">
        <v>7</v>
      </c>
      <c r="B10" s="5">
        <v>0.34384090383828125</v>
      </c>
      <c r="C10" s="6" t="s">
        <v>8</v>
      </c>
    </row>
    <row r="11" spans="1:2" x14ac:dyDescent="0.25">
      <c r="A11" t="s">
        <v>9</v>
      </c>
      <c r="B11" s="5">
        <v>0.015986433910210943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11.843550480283238</v>
      </c>
    </row>
    <row r="14" spans="1:3" x14ac:dyDescent="0.25">
      <c r="A14" t="s">
        <v>12</v>
      </c>
      <c r="B14" s="5">
        <v>0.06380269888745914</v>
      </c>
      <c r="C14" s="6" t="s">
        <v>13</v>
      </c>
    </row>
    <row r="15" spans="1:3" x14ac:dyDescent="0.25">
      <c r="A15" t="s">
        <v>14</v>
      </c>
      <c r="B15" s="5">
        <v>0.1310324962989575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0.59934</v>
      </c>
      <c r="C19" s="6" t="s">
        <v>21</v>
      </c>
    </row>
    <row r="20" spans="1:2" x14ac:dyDescent="0.25">
      <c r="A20" t="s">
        <v>22</v>
      </c>
      <c r="B20" s="9">
        <f>B17+B19*B18</f>
        <v>0.07429208200000001</v>
      </c>
    </row>
    <row r="21" spans="1:3" x14ac:dyDescent="0.25">
      <c r="A21" t="s">
        <v>23</v>
      </c>
      <c r="B21" s="5">
        <v>0.06274</v>
      </c>
      <c r="C21" s="6" t="s">
        <v>24</v>
      </c>
    </row>
    <row r="22" spans="1:2" x14ac:dyDescent="0.25">
      <c r="A22" t="s">
        <v>25</v>
      </c>
      <c r="B22" s="10">
        <v>47556521984</v>
      </c>
    </row>
    <row r="23" spans="1:2" x14ac:dyDescent="0.25">
      <c r="A23" t="s">
        <v>26</v>
      </c>
      <c r="B23" s="10">
        <v>50080000000</v>
      </c>
    </row>
    <row r="24" spans="1:2" x14ac:dyDescent="0.25">
      <c r="A24" t="s">
        <v>27</v>
      </c>
      <c r="B24" s="9">
        <f>B22/(B22+B23)</f>
        <v>0.4870771819564941</v>
      </c>
    </row>
    <row r="25" spans="1:2" x14ac:dyDescent="0.25">
      <c r="A25" t="s">
        <v>28</v>
      </c>
      <c r="B25" s="9">
        <f>1-B24</f>
        <v>0.5129228180435059</v>
      </c>
    </row>
    <row r="26" spans="1:2" x14ac:dyDescent="0.25">
      <c r="A26" t="s">
        <v>29</v>
      </c>
      <c r="B26" s="11">
        <f>B24*B20+B25*B21*(1-B8)</f>
        <v>0.06380269888745914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24258000000</v>
      </c>
      <c r="C29" s="6" t="s">
        <v>32</v>
      </c>
    </row>
    <row r="30" spans="1:2" x14ac:dyDescent="0.25">
      <c r="A30" t="s">
        <v>33</v>
      </c>
      <c r="B30" s="10">
        <v>49454000000</v>
      </c>
    </row>
    <row r="31" spans="1:2" x14ac:dyDescent="0.25">
      <c r="A31" t="s">
        <v>34</v>
      </c>
      <c r="B31" s="12">
        <v>1022401000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0.05149494929507781</v>
      </c>
      <c r="C5" s="5">
        <v>0.03098322201276682</v>
      </c>
      <c r="D5" s="5">
        <v>0.030235319261170967</v>
      </c>
      <c r="E5" s="5">
        <v>0.029487416509575114</v>
      </c>
      <c r="F5" s="5">
        <v>0.028739513757979264</v>
      </c>
      <c r="G5" s="5">
        <v>0.02799161100638341</v>
      </c>
      <c r="H5" s="5">
        <v>0.027243708254787558</v>
      </c>
      <c r="I5" s="5">
        <v>0.026495805503191708</v>
      </c>
      <c r="J5" s="5">
        <v>0.025747902751595855</v>
      </c>
      <c r="K5" s="5">
        <v>0.025</v>
      </c>
    </row>
    <row r="6" spans="1:11" x14ac:dyDescent="0.25">
      <c r="A6" t="s">
        <v>50</v>
      </c>
      <c r="B6" s="18">
        <f>Assumptions!B29*(1+B5)</f>
        <v>25507164479.999996</v>
      </c>
      <c r="C6" s="18">
        <f>B6*(1+C5)</f>
        <v>26297458619.999996</v>
      </c>
      <c r="D6" s="18">
        <f>C6*(1+D5)</f>
        <v>27092570677.133133</v>
      </c>
      <c r="E6" s="18">
        <f>D6*(1+E5)</f>
        <v>27891460593.00486</v>
      </c>
      <c r="F6" s="18">
        <f>E6*(1+F5)</f>
        <v>28693047608.447662</v>
      </c>
      <c r="G6" s="18">
        <f>F6*(1+G5)</f>
        <v>29496212235.690968</v>
      </c>
      <c r="H6" s="18">
        <f>G6*(1+H5)</f>
        <v>30299798436.46143</v>
      </c>
      <c r="I6" s="18">
        <f>H6*(1+I5)</f>
        <v>31102616002.619823</v>
      </c>
      <c r="J6" s="18">
        <f>I6*(1+J5)</f>
        <v>31903443134.77551</v>
      </c>
      <c r="K6" s="18">
        <f>J6*(1+K5)</f>
        <v>32701029213.144894</v>
      </c>
    </row>
    <row r="7" spans="1:11" x14ac:dyDescent="0.25">
      <c r="A7" t="s">
        <v>4</v>
      </c>
      <c r="B7" s="9">
        <f>Assumptions!B7</f>
        <v>0.18942360105026446</v>
      </c>
      <c r="C7" s="9">
        <f>Assumptions!B7</f>
        <v>0.18942360105026446</v>
      </c>
      <c r="D7" s="9">
        <f>Assumptions!B7</f>
        <v>0.18942360105026446</v>
      </c>
      <c r="E7" s="9">
        <f>Assumptions!B7</f>
        <v>0.18942360105026446</v>
      </c>
      <c r="F7" s="9">
        <f>Assumptions!B7</f>
        <v>0.18942360105026446</v>
      </c>
      <c r="G7" s="9">
        <f>Assumptions!B7</f>
        <v>0.18942360105026446</v>
      </c>
      <c r="H7" s="9">
        <f>Assumptions!B7</f>
        <v>0.18942360105026446</v>
      </c>
      <c r="I7" s="9">
        <f>Assumptions!B7</f>
        <v>0.18942360105026446</v>
      </c>
      <c r="J7" s="9">
        <f>Assumptions!B7</f>
        <v>0.18942360105026446</v>
      </c>
      <c r="K7" s="9">
        <f>Assumptions!B7</f>
        <v>0.18942360105026446</v>
      </c>
    </row>
    <row r="8" spans="1:11" x14ac:dyDescent="0.25">
      <c r="A8" t="s">
        <v>51</v>
      </c>
      <c r="B8" s="18">
        <f>B6*B7</f>
        <v>4831658948.382996</v>
      </c>
      <c r="C8" s="18">
        <f>C6*C7</f>
        <v>4981359310.270718</v>
      </c>
      <c r="D8" s="18">
        <f>D6*D7</f>
        <v>5131972299.37136</v>
      </c>
      <c r="E8" s="18">
        <f>E6*E7</f>
        <v>5283300904.078526</v>
      </c>
      <c r="F8" s="18">
        <f>F6*F7</f>
        <v>5435140403.098835</v>
      </c>
      <c r="G8" s="18">
        <f>G6*G7</f>
        <v>5587278739.027455</v>
      </c>
      <c r="H8" s="18">
        <f>H6*H7</f>
        <v>5739496930.931697</v>
      </c>
      <c r="I8" s="18">
        <f>I6*I7</f>
        <v>5891569525.299829</v>
      </c>
      <c r="J8" s="18">
        <f>J6*J7</f>
        <v>6043265084.491514</v>
      </c>
      <c r="K8" s="18">
        <f>K6*K7</f>
        <v>6194346711.603802</v>
      </c>
    </row>
    <row r="9" spans="1:11" x14ac:dyDescent="0.25">
      <c r="A9" t="s">
        <v>52</v>
      </c>
      <c r="B9" s="18">
        <f>B8*(1-Assumptions!B8)</f>
        <v>4146406234.2349753</v>
      </c>
      <c r="C9" s="18">
        <f>C8*(1-Assumptions!B8)</f>
        <v>4274875259.145398</v>
      </c>
      <c r="D9" s="18">
        <f>D8*(1-Assumptions!B8)</f>
        <v>4404127477.407341</v>
      </c>
      <c r="E9" s="18">
        <f>E8*(1-Assumptions!B8)</f>
        <v>4533993818.694916</v>
      </c>
      <c r="F9" s="18">
        <f>F8*(1-Assumptions!B8)</f>
        <v>4664298596.425892</v>
      </c>
      <c r="G9" s="18">
        <f>G8*(1-Assumptions!B8)</f>
        <v>4794859828.354666</v>
      </c>
      <c r="H9" s="18">
        <f>H8*(1-Assumptions!B8)</f>
        <v>4925489590.640961</v>
      </c>
      <c r="I9" s="18">
        <f>I8*(1-Assumptions!B8)</f>
        <v>5055994404.842579</v>
      </c>
      <c r="J9" s="18">
        <f>J8*(1-Assumptions!B8)</f>
        <v>5186175657.091079</v>
      </c>
      <c r="K9" s="18">
        <f>K8*(1-Assumptions!B8)</f>
        <v>5315830048.518355</v>
      </c>
    </row>
    <row r="10" spans="1:11" x14ac:dyDescent="0.25">
      <c r="A10" t="s">
        <v>53</v>
      </c>
      <c r="B10" s="18">
        <f>B6*Assumptions!B9</f>
        <v>3351630324.119055</v>
      </c>
      <c r="C10" s="18">
        <f>C6*Assumptions!B9</f>
        <v>3455474630.5559573</v>
      </c>
      <c r="D10" s="18">
        <f>D6*Assumptions!B9</f>
        <v>3559952009.209694</v>
      </c>
      <c r="E10" s="18">
        <f>E6*Assumptions!B9</f>
        <v>3664925796.8593593</v>
      </c>
      <c r="F10" s="18">
        <f>F6*Assumptions!B9</f>
        <v>3770253982.2201724</v>
      </c>
      <c r="G10" s="18">
        <f>G6*Assumptions!B9</f>
        <v>3875789465.0857472</v>
      </c>
      <c r="H10" s="18">
        <f>H6*Assumptions!B9</f>
        <v>3981380342.5295224</v>
      </c>
      <c r="I10" s="18">
        <f>I6*Assumptions!B9</f>
        <v>4086870221.7194157</v>
      </c>
      <c r="J10" s="18">
        <f>J6*Assumptions!B9</f>
        <v>4192098558.74664</v>
      </c>
      <c r="K10" s="18">
        <f>K6*Assumptions!B9</f>
        <v>4296901022.715305</v>
      </c>
    </row>
    <row r="11" spans="1:11" x14ac:dyDescent="0.25">
      <c r="A11" t="s">
        <v>54</v>
      </c>
      <c r="B11" s="18">
        <f>-B6*B19</f>
        <v>-8770406489.154902</v>
      </c>
      <c r="C11" s="18">
        <f>-C6*C19</f>
        <v>-8606804455.259197</v>
      </c>
      <c r="D11" s="18">
        <f>-D6*D19</f>
        <v>-8418533882.636887</v>
      </c>
      <c r="E11" s="18">
        <f>-E6*E19</f>
        <v>-8205049536.61696</v>
      </c>
      <c r="F11" s="18">
        <f>-F6*F19</f>
        <v>-7965863753.024794</v>
      </c>
      <c r="G11" s="18">
        <f>-G6*G19</f>
        <v>-7700550321.9302025</v>
      </c>
      <c r="H11" s="18">
        <f>-H6*H19</f>
        <v>-7408748225.860489</v>
      </c>
      <c r="I11" s="18">
        <f>-I6*I19</f>
        <v>-7090165207.84154</v>
      </c>
      <c r="J11" s="18">
        <f>-J6*J19</f>
        <v>-6744581144.833132</v>
      </c>
      <c r="K11" s="18">
        <f>-K6*K19</f>
        <v>-6371851202.499482</v>
      </c>
    </row>
    <row r="12" spans="1:11" x14ac:dyDescent="0.25">
      <c r="A12" t="s">
        <v>55</v>
      </c>
      <c r="B12" s="18">
        <f>-(B6-Assumptions!B29)*Assumptions!B11</f>
        <v>-19969685.402502958</v>
      </c>
      <c r="C12" s="18">
        <f>-(C6-B6)*Assumptions!B11</f>
        <v>-12633985.038736993</v>
      </c>
      <c r="D12" s="18">
        <f>-(D6-C6)*Assumptions!B11</f>
        <v>-12711006.352570757</v>
      </c>
      <c r="E12" s="18">
        <f>-(E6-D6)*Assumptions!B11</f>
        <v>-12771400.841617344</v>
      </c>
      <c r="F12" s="18">
        <f>-(F6-E6)*Assumptions!B11</f>
        <v>-12814517.845659599</v>
      </c>
      <c r="G12" s="18">
        <f>-(G6-F6)*Assumptions!B11</f>
        <v>-12839738.232444305</v>
      </c>
      <c r="H12" s="18">
        <f>-(H6-G6)*Assumptions!B11</f>
        <v>-12846477.689774493</v>
      </c>
      <c r="I12" s="18">
        <f>-(I6-H6)*Assumptions!B11</f>
        <v>-12834189.963347565</v>
      </c>
      <c r="J12" s="18">
        <f>-(J6-I6)*Assumptions!B11</f>
        <v>-12802370.021710629</v>
      </c>
      <c r="K12" s="18">
        <f>-(K6-J6)*Assumptions!B11</f>
        <v>-12750557.129556496</v>
      </c>
    </row>
    <row r="13" spans="1:11" x14ac:dyDescent="0.25">
      <c r="A13" s="19" t="s">
        <v>56</v>
      </c>
      <c r="B13" s="20">
        <f>B9+B10+B11+B12</f>
        <v>-1292339616.203374</v>
      </c>
      <c r="C13" s="20">
        <f>C9+C10+C11+C12</f>
        <v>-889088550.5965792</v>
      </c>
      <c r="D13" s="20">
        <f>D9+D10+D11+D12</f>
        <v>-467165402.37242246</v>
      </c>
      <c r="E13" s="20">
        <f>E9+E10+E11+E12</f>
        <v>-18901321.904301405</v>
      </c>
      <c r="F13" s="20">
        <f>F9+F10+F11+F12</f>
        <v>455874307.7756115</v>
      </c>
      <c r="G13" s="20">
        <f>G9+G10+G11+G12</f>
        <v>957259233.2777658</v>
      </c>
      <c r="H13" s="20">
        <f>H9+H10+H11+H12</f>
        <v>1485275229.6202192</v>
      </c>
      <c r="I13" s="20">
        <f>I9+I10+I11+I12</f>
        <v>2039865228.7571065</v>
      </c>
      <c r="J13" s="20">
        <f>J9+J10+J11+J12</f>
        <v>2620890700.982877</v>
      </c>
      <c r="K13" s="20">
        <f>K9+K10+K11+K12</f>
        <v>3228129311.604623</v>
      </c>
    </row>
    <row r="14" spans="1:11" x14ac:dyDescent="0.25">
      <c r="A14" t="s">
        <v>57</v>
      </c>
      <c r="B14" s="21">
        <f>1/(1+Assumptions!$B$26)^(1-0.5*Assumptions!$B$32)</f>
        <v>0.9695483153884191</v>
      </c>
      <c r="C14" s="21">
        <f>1/(1+Assumptions!$B$26)^(2-0.5*Assumptions!$B$32)</f>
        <v>0.9113986234499943</v>
      </c>
      <c r="D14" s="21">
        <f>1/(1+Assumptions!$B$26)^(3-0.5*Assumptions!$B$32)</f>
        <v>0.8567365211642617</v>
      </c>
      <c r="E14" s="21">
        <f>1/(1+Assumptions!$B$26)^(4-0.5*Assumptions!$B$32)</f>
        <v>0.8053528366305608</v>
      </c>
      <c r="F14" s="21">
        <f>1/(1+Assumptions!$B$26)^(5-0.5*Assumptions!$B$32)</f>
        <v>0.7570509432555594</v>
      </c>
      <c r="G14" s="21">
        <f>1/(1+Assumptions!$B$26)^(6-0.5*Assumptions!$B$32)</f>
        <v>0.7116460073350959</v>
      </c>
      <c r="H14" s="21">
        <f>1/(1+Assumptions!$B$26)^(7-0.5*Assumptions!$B$32)</f>
        <v>0.6689642807631019</v>
      </c>
      <c r="I14" s="21">
        <f>1/(1+Assumptions!$B$26)^(8-0.5*Assumptions!$B$32)</f>
        <v>0.6288424361610615</v>
      </c>
      <c r="J14" s="21">
        <f>1/(1+Assumptions!$B$26)^(9-0.5*Assumptions!$B$32)</f>
        <v>0.5911269418837857</v>
      </c>
      <c r="K14" s="21">
        <f>1/(1+Assumptions!$B$26)^(10-0.5*Assumptions!$B$32)</f>
        <v>0.5556734745098835</v>
      </c>
    </row>
    <row r="15" spans="1:11" x14ac:dyDescent="0.25">
      <c r="A15" s="19" t="s">
        <v>58</v>
      </c>
      <c r="B15" s="20">
        <f>B13*B14</f>
        <v>-1252985697.7996974</v>
      </c>
      <c r="C15" s="20">
        <f>C13*C14</f>
        <v>-810314081.1388729</v>
      </c>
      <c r="D15" s="20">
        <f>D13*D14</f>
        <v>-400237661.6368517</v>
      </c>
      <c r="E15" s="20">
        <f>E13*E14</f>
        <v>-15222233.211696489</v>
      </c>
      <c r="F15" s="20">
        <f>F13*F14</f>
        <v>345120074.7075019</v>
      </c>
      <c r="G15" s="20">
        <f>G13*G14</f>
        <v>681229711.3467771</v>
      </c>
      <c r="H15" s="20">
        <f>H13*H14</f>
        <v>993596075.718141</v>
      </c>
      <c r="I15" s="20">
        <f>I13*I14</f>
        <v>1282753819.8918598</v>
      </c>
      <c r="J15" s="20">
        <f>J13*J14</f>
        <v>1549279105.0836594</v>
      </c>
      <c r="K15" s="20">
        <f>K13*K14</f>
        <v>1793785830.746539</v>
      </c>
    </row>
    <row r="17" spans="1:2" x14ac:dyDescent="0.25">
      <c r="A17" s="22" t="s">
        <v>59</v>
      </c>
      <c r="B17" s="23">
        <f>SUM(B15:K15)</f>
        <v>4167004943.70736</v>
      </c>
    </row>
    <row r="19" spans="1:11" x14ac:dyDescent="0.25">
      <c r="A19" t="s">
        <v>7</v>
      </c>
      <c r="B19" s="9">
        <f>Assumptions!$B$10+($B$20-Assumptions!$B$10)*0/9</f>
        <v>0.34384090383828125</v>
      </c>
      <c r="C19" s="9">
        <f>Assumptions!$B$10+($B$20-Assumptions!$B$10)*1/9</f>
        <v>0.32728654808923124</v>
      </c>
      <c r="D19" s="9">
        <f>Assumptions!$B$10+($B$20-Assumptions!$B$10)*2/9</f>
        <v>0.31073219234018123</v>
      </c>
      <c r="E19" s="9">
        <f>Assumptions!$B$10+($B$20-Assumptions!$B$10)*3/9</f>
        <v>0.2941778365911312</v>
      </c>
      <c r="F19" s="9">
        <f>Assumptions!$B$10+($B$20-Assumptions!$B$10)*4/9</f>
        <v>0.2776234808420812</v>
      </c>
      <c r="G19" s="9">
        <f>Assumptions!$B$10+($B$20-Assumptions!$B$10)*5/9</f>
        <v>0.2610691250930312</v>
      </c>
      <c r="H19" s="9">
        <f>Assumptions!$B$10+($B$20-Assumptions!$B$10)*6/9</f>
        <v>0.2445147693439812</v>
      </c>
      <c r="I19" s="9">
        <f>Assumptions!$B$10+($B$20-Assumptions!$B$10)*7/9</f>
        <v>0.2279604135949312</v>
      </c>
      <c r="J19" s="9">
        <f>Assumptions!$B$10+($B$20-Assumptions!$B$10)*8/9</f>
        <v>0.21140605784588118</v>
      </c>
      <c r="K19" s="9">
        <f>Assumptions!$B$10+($B$20-Assumptions!$B$10)*9/9</f>
        <v>0.19485170209683117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0.19485170209683117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3228129311.604623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5326131174.102212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0.3918329543409632</v>
      </c>
    </row>
    <row r="7" spans="1:2" x14ac:dyDescent="0.25">
      <c r="A7" t="s">
        <v>66</v>
      </c>
      <c r="B7" s="18">
        <f>-MAX(B5,0)*B6</f>
        <v>-2086953713.1559727</v>
      </c>
    </row>
    <row r="8" spans="1:2" x14ac:dyDescent="0.25">
      <c r="A8" t="s">
        <v>67</v>
      </c>
      <c r="B8" s="18">
        <f>IF(OR(Assumptions!$B$33=0,Assumptions!B12&lt;=0),B5,MAX(B5+B7,0))</f>
        <v>3239177460.9462395</v>
      </c>
    </row>
    <row r="9" spans="1:2" x14ac:dyDescent="0.25">
      <c r="A9" t="s">
        <v>68</v>
      </c>
      <c r="B9" s="18">
        <f>B8*(1+Assumptions!B12)/(Assumptions!B26-Assumptions!B12)</f>
        <v>85565102239.39488</v>
      </c>
    </row>
    <row r="10" spans="1:2" x14ac:dyDescent="0.25">
      <c r="A10" t="s">
        <v>69</v>
      </c>
      <c r="B10" s="18">
        <f>B9/(1+Assumptions!B26)^(10-0.5*Assumptions!B32)</f>
        <v>47546257658.15797</v>
      </c>
    </row>
    <row r="11" spans="1:2" x14ac:dyDescent="0.25">
      <c r="A11" t="s">
        <v>70</v>
      </c>
      <c r="B11" s="18">
        <f>Forecast!B17+B10</f>
        <v>51713262601.865326</v>
      </c>
    </row>
    <row r="12" spans="1:2" x14ac:dyDescent="0.25">
      <c r="A12" t="s">
        <v>71</v>
      </c>
      <c r="B12" s="18">
        <f>-Assumptions!B30</f>
        <v>-49454000000</v>
      </c>
    </row>
    <row r="13" spans="1:2" x14ac:dyDescent="0.25">
      <c r="A13" t="s">
        <v>72</v>
      </c>
      <c r="B13" s="18">
        <f>B11+B12</f>
        <v>2259262601.865326</v>
      </c>
    </row>
    <row r="14" spans="1:2" x14ac:dyDescent="0.25">
      <c r="A14" s="19" t="s">
        <v>73</v>
      </c>
      <c r="B14" s="24">
        <f>B13/Assumptions!B31</f>
        <v>2.2097617293658027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10491247734.319107</v>
      </c>
    </row>
    <row r="18" spans="1:2" x14ac:dyDescent="0.25">
      <c r="A18" t="s">
        <v>68</v>
      </c>
      <c r="B18" s="18">
        <f>B17*Assumptions!B13</f>
        <v>124253622142.56549</v>
      </c>
    </row>
    <row r="19" spans="1:2" x14ac:dyDescent="0.25">
      <c r="A19" t="s">
        <v>69</v>
      </c>
      <c r="B19" s="18">
        <f>B18/(1+Assumptions!B26)^(10-0.5*Assumptions!B32)</f>
        <v>69044441936.39755</v>
      </c>
    </row>
    <row r="20" spans="1:2" x14ac:dyDescent="0.25">
      <c r="A20" t="s">
        <v>70</v>
      </c>
      <c r="B20" s="18">
        <f>Forecast!B17+B19</f>
        <v>73211446880.10492</v>
      </c>
    </row>
    <row r="21" spans="1:2" x14ac:dyDescent="0.25">
      <c r="A21" t="s">
        <v>71</v>
      </c>
      <c r="B21" s="18">
        <f>-Assumptions!B30</f>
        <v>-49454000000</v>
      </c>
    </row>
    <row r="22" spans="1:2" x14ac:dyDescent="0.25">
      <c r="A22" t="s">
        <v>72</v>
      </c>
      <c r="B22" s="18">
        <f>B20+B21</f>
        <v>23757446880.10492</v>
      </c>
    </row>
    <row r="23" spans="1:2" x14ac:dyDescent="0.25">
      <c r="A23" s="19" t="s">
        <v>73</v>
      </c>
      <c r="B23" s="25">
        <f>B22/Assumptions!B31</f>
        <v>23.236916708908655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46.16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2.2097617293658027</v>
      </c>
    </row>
    <row r="29" spans="1:2" x14ac:dyDescent="0.25">
      <c r="A29" s="19" t="s">
        <v>81</v>
      </c>
      <c r="B29" s="11">
        <f>B28/B26-1</f>
        <v>-0.9521282121021273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0.043803</v>
      </c>
      <c r="B5" s="31">
        <v>43.69954381665484</v>
      </c>
      <c r="C5" s="31">
        <v>45.40503429737294</v>
      </c>
      <c r="D5" s="31">
        <v>48.80124675558467</v>
      </c>
      <c r="E5" s="31">
        <v>55.7255230490315</v>
      </c>
      <c r="F5" s="31">
        <v>72.18955890968272</v>
      </c>
    </row>
    <row r="6" spans="1:6" x14ac:dyDescent="0.25">
      <c r="A6" s="30">
        <v>0.053803</v>
      </c>
      <c r="B6" s="31">
        <v>17.832882377472483</v>
      </c>
      <c r="C6" s="31">
        <v>16.545776289886735</v>
      </c>
      <c r="D6" s="31">
        <v>15.258670202300973</v>
      </c>
      <c r="E6" s="31">
        <v>13.971564114715216</v>
      </c>
      <c r="F6" s="31">
        <v>12.684458027129445</v>
      </c>
    </row>
    <row r="7" spans="1:6" x14ac:dyDescent="0.25">
      <c r="A7" s="30">
        <v>0.063803</v>
      </c>
      <c r="B7" s="31">
        <v>4.259653769158214</v>
      </c>
      <c r="C7" s="31">
        <v>3.234543518345046</v>
      </c>
      <c r="D7" s="32">
        <v>2.209433267531878</v>
      </c>
      <c r="E7" s="31">
        <v>1.1843230167187029</v>
      </c>
      <c r="F7" s="31">
        <v>0.15921276590552014</v>
      </c>
    </row>
    <row r="8" spans="1:6" x14ac:dyDescent="0.25">
      <c r="A8" s="30">
        <v>0.073803</v>
      </c>
      <c r="B8" s="31">
        <v>-5.466772700349949</v>
      </c>
      <c r="C8" s="31">
        <v>-6.304522871705714</v>
      </c>
      <c r="D8" s="31">
        <v>-7.142273043061479</v>
      </c>
      <c r="E8" s="31">
        <v>-7.980023214417244</v>
      </c>
      <c r="F8" s="31">
        <v>-8.817773385773016</v>
      </c>
    </row>
    <row r="9" spans="1:6" x14ac:dyDescent="0.25">
      <c r="A9" s="30">
        <v>0.083803</v>
      </c>
      <c r="B9" s="31">
        <v>-12.734869006236817</v>
      </c>
      <c r="C9" s="31">
        <v>-13.432916021311602</v>
      </c>
      <c r="D9" s="31">
        <v>-14.130963036386403</v>
      </c>
      <c r="E9" s="31">
        <v>-14.829010051461195</v>
      </c>
      <c r="F9" s="31">
        <v>-15.527057066535988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24258000000</v>
      </c>
      <c r="C5" s="18">
        <v>23028000000</v>
      </c>
      <c r="D5" s="18">
        <v>21727000000</v>
      </c>
      <c r="E5" s="18">
        <v>19078000000</v>
      </c>
      <c r="F5" s="6" t="s">
        <v>91</v>
      </c>
    </row>
    <row r="6" spans="1:6" x14ac:dyDescent="0.25">
      <c r="A6" t="s">
        <v>51</v>
      </c>
      <c r="B6" s="18">
        <v>5145000000</v>
      </c>
      <c r="C6" s="18">
        <v>4307000000</v>
      </c>
      <c r="D6" s="18">
        <v>4013000000</v>
      </c>
      <c r="E6" s="18">
        <v>3317000000</v>
      </c>
      <c r="F6" s="6" t="s">
        <v>92</v>
      </c>
    </row>
    <row r="7" spans="1:6" x14ac:dyDescent="0.25">
      <c r="A7" t="s">
        <v>93</v>
      </c>
      <c r="B7" s="18">
        <v>3046000000</v>
      </c>
      <c r="C7" s="18">
        <v>2918000000</v>
      </c>
      <c r="D7" s="18">
        <v>2786000000</v>
      </c>
      <c r="E7" s="18">
        <v>2768000000</v>
      </c>
      <c r="F7" s="6" t="s">
        <v>94</v>
      </c>
    </row>
    <row r="8" spans="1:6" x14ac:dyDescent="0.25">
      <c r="A8" t="s">
        <v>95</v>
      </c>
      <c r="B8" s="18">
        <v>8529000000</v>
      </c>
      <c r="C8" s="18">
        <v>7097000000</v>
      </c>
      <c r="D8" s="18">
        <v>7408000000</v>
      </c>
      <c r="E8" s="18">
        <v>7147000000</v>
      </c>
      <c r="F8" s="6" t="s">
        <v>96</v>
      </c>
    </row>
    <row r="9" spans="1:6" x14ac:dyDescent="0.25">
      <c r="A9" t="s">
        <v>97</v>
      </c>
      <c r="B9" s="18">
        <v>1524000000</v>
      </c>
      <c r="C9" s="18">
        <v>1048000000</v>
      </c>
      <c r="D9" s="18">
        <v>852000000</v>
      </c>
      <c r="E9" s="18">
        <v>2260000000</v>
      </c>
      <c r="F9" s="6" t="s">
        <v>98</v>
      </c>
    </row>
    <row r="10" spans="1:6" x14ac:dyDescent="0.25">
      <c r="A10" t="s">
        <v>99</v>
      </c>
      <c r="B10" s="18">
        <v>50080000000</v>
      </c>
      <c r="C10" s="18">
        <v>46649000000</v>
      </c>
      <c r="D10" s="18">
        <v>44008000000</v>
      </c>
      <c r="E10" s="18">
        <v>40050000000</v>
      </c>
      <c r="F10" s="6" t="s">
        <v>100</v>
      </c>
    </row>
    <row r="11" spans="1:6" x14ac:dyDescent="0.25">
      <c r="A11" t="s">
        <v>101</v>
      </c>
      <c r="B11" s="18">
        <v>626000000</v>
      </c>
      <c r="C11" s="18">
        <v>357000000</v>
      </c>
      <c r="D11" s="18">
        <v>445000000</v>
      </c>
      <c r="E11" s="18">
        <v>407000000</v>
      </c>
      <c r="F11" s="6" t="s">
        <v>102</v>
      </c>
    </row>
    <row r="12" spans="1:6" x14ac:dyDescent="0.25">
      <c r="A12" t="s">
        <v>34</v>
      </c>
      <c r="B12" s="34">
        <v>1022401000</v>
      </c>
      <c r="C12" s="34">
        <v>1005046000</v>
      </c>
      <c r="D12" s="34">
        <v>999000000</v>
      </c>
      <c r="E12" s="34">
        <v>1043269231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22" customHeight="1" spans="1:6" x14ac:dyDescent="0.25">
      <c r="A17" s="35" t="s">
        <v>106</v>
      </c>
      <c r="B17" s="35"/>
      <c r="C17" s="35"/>
      <c r="D17" s="35"/>
      <c r="E17" s="35"/>
      <c r="F17" s="35"/>
    </row>
    <row r="18" ht="54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