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<sst xmlns="http://schemas.openxmlformats.org/spreadsheetml/2006/main" count="120" uniqueCount="107">
  <si>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Expand Energy Corporation (EXE)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</si>
  <si>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</si>
  <si>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</si>
  <si>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</si>
  <si>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</si>
  <si>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</si>
  <si>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</si>
  <si>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</si>
  <si>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</si>
  <si>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</si>
  <si>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</si>
  <si>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</si>
  <si>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</si>
  <si>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</si>
  <si>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</si>
  <si>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</si>
  <si>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</si>
  <si>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</si>
  <si>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</si>
  <si>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</si>
  <si>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</si>
  <si>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</si>
  <si>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</si>
  <si>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</si>
  <si>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11.8x interest cover. Book interest / average debt was lower, at 4.3%.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</si>
  <si>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</si>
  <si>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</si>
  <si>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</si>
  <si>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</si>
  <si>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</si>
  <si>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</si>
  <si>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</si>
  <si>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</si>
  <si>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</si>
  <si>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</si>
  <si>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</si>
  <si>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</si>
  <si>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</si>
  <si>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</si>
  <si>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</si>
  <si>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</si>
  <si>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</si>
  <si>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</si>
  <si>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</si>
  <si>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</si>
  <si>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</si>
  <si>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</si>
  <si>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</si>
  <si>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</si>
  <si>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</si>
  <si>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</si>
  <si>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</si>
  <si>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</si>
  <si>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</si>
  <si>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</si>
  <si>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</si>
  <si>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</si>
  <si>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</si>
  <si>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</si>
  <si>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</si>
  <si>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</si>
  <si>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</si>
  <si>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</si>
  <si>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</si>
  <si>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</si>
  <si>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</si>
  <si>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</si>
  <si>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</si>
  <si>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</si>
  <si>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</si>
  <si>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</si>
  <si>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</si>
  <si>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</si>
  <si>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</si>
  <si>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</si>
  <si>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</si>
  <si>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</si>
  <si>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</si>
  <si>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</si>
  <si>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</si>
  <si>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</si>
  <si>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</si>
  <si>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</si>
  <si>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</si>
  <si>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</si>
  <si>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</si>
  <si>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</si>
  <si>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</si>
  <si>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</si>
  <si>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</si>
  <si>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</si>
  <si>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</si>
  <si>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</si>
  <si>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</si>
  <si>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</si>
  <si>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</si>
  <si>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</si>
  <si>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</si>
  <si>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</si>
  <si>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</si>
  <si>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</si>
  <si>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</si>
  <si>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</si>
  <si>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</si>
  <si>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</si>
  <si>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Consensus rests on as few as 2 analyst estimate(s).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</si>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</sst>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-0.1960333087209779</v>
      </c>
    </row>
    <row r="7" spans="1:2" x14ac:dyDescent="0.25">
      <c r="A7" t="s">
        <v>4</v>
      </c>
      <c r="B7" s="5">
        <v>0.17311914850552942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0.25092352760323555</v>
      </c>
    </row>
    <row r="10" spans="1:3" x14ac:dyDescent="0.25">
      <c r="A10" t="s">
        <v>7</v>
      </c>
      <c r="B10" s="5">
        <v>0.250971293817022</v>
      </c>
      <c r="C10" s="6" t="s">
        <v>8</v>
      </c>
    </row>
    <row r="11" spans="1:2" x14ac:dyDescent="0.25">
      <c r="A11" t="s">
        <v>9</v>
      </c>
      <c r="B11" s="5">
        <v>0.04984122775941309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4.4091790756390195</v>
      </c>
    </row>
    <row r="14" spans="1:3" x14ac:dyDescent="0.25">
      <c r="A14" t="s">
        <v>12</v>
      </c>
      <c r="B14" s="5">
        <v>0.14664262757701654</v>
      </c>
      <c r="C14" s="6" t="s">
        <v>13</v>
      </c>
    </row>
    <row r="15" spans="1:3" x14ac:dyDescent="0.25">
      <c r="A15" t="s">
        <v>14</v>
      </c>
      <c r="B15" s="5">
        <v>0.25092352760323555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0.59465</v>
      </c>
      <c r="C19" s="6" t="s">
        <v>21</v>
      </c>
    </row>
    <row r="20" spans="1:2" x14ac:dyDescent="0.25">
      <c r="A20" t="s">
        <v>22</v>
      </c>
      <c r="B20" s="9">
        <f>B17+B19*B18</f>
        <v>0.074093695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20913188864</v>
      </c>
    </row>
    <row r="23" spans="1:2" x14ac:dyDescent="0.25">
      <c r="A23" t="s">
        <v>26</v>
      </c>
      <c r="B23" s="10">
        <v>5060000000</v>
      </c>
    </row>
    <row r="24" spans="1:2" x14ac:dyDescent="0.25">
      <c r="A24" t="s">
        <v>27</v>
      </c>
      <c r="B24" s="9">
        <f>B22/(B22+B23)</f>
        <v>0.8051837213175859</v>
      </c>
    </row>
    <row r="25" spans="1:2" x14ac:dyDescent="0.25">
      <c r="A25" t="s">
        <v>28</v>
      </c>
      <c r="B25" s="9">
        <f>1-B24</f>
        <v>0.19481627868241413</v>
      </c>
    </row>
    <row r="26" spans="1:2" x14ac:dyDescent="0.25">
      <c r="A26" t="s">
        <v>29</v>
      </c>
      <c r="B26" s="11">
        <f>B24*B20+B25*B21*(1-B8)</f>
        <v>0.06780676036309334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12189000000</v>
      </c>
      <c r="C29" s="6" t="s">
        <v>32</v>
      </c>
    </row>
    <row r="30" spans="1:2" x14ac:dyDescent="0.25">
      <c r="A30" t="s">
        <v>33</v>
      </c>
      <c r="B30" s="10">
        <v>4444000000</v>
      </c>
    </row>
    <row r="31" spans="1:2" x14ac:dyDescent="0.25">
      <c r="A31" t="s">
        <v>34</v>
      </c>
      <c r="B31" s="12">
        <v>240370000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-0.1960333087209779</v>
      </c>
      <c r="C5" s="5">
        <v>0.04545957008229973</v>
      </c>
      <c r="D5" s="5">
        <v>0.042902123822012264</v>
      </c>
      <c r="E5" s="5">
        <v>0.040344677561724794</v>
      </c>
      <c r="F5" s="5">
        <v>0.03778723130143733</v>
      </c>
      <c r="G5" s="5">
        <v>0.03522978504114986</v>
      </c>
      <c r="H5" s="5">
        <v>0.0326723387808624</v>
      </c>
      <c r="I5" s="5">
        <v>0.030114892520574935</v>
      </c>
      <c r="J5" s="5">
        <v>0.027557446260287468</v>
      </c>
      <c r="K5" s="5">
        <v>0.025</v>
      </c>
    </row>
    <row r="6" spans="1:11" x14ac:dyDescent="0.25">
      <c r="A6" t="s">
        <v>50</v>
      </c>
      <c r="B6" s="18">
        <f>Assumptions!B29*(1+B5)</f>
        <v>9799550000</v>
      </c>
      <c r="C6" s="18">
        <f>B6*(1+C5)</f>
        <v>10245033330</v>
      </c>
      <c r="D6" s="18">
        <f>C6*(1+D5)</f>
        <v>10684567018.484303</v>
      </c>
      <c r="E6" s="18">
        <f>D6*(1+E5)</f>
        <v>11115632429.731691</v>
      </c>
      <c r="F6" s="18">
        <f>E6*(1+F5)</f>
        <v>11535661403.41572</v>
      </c>
      <c r="G6" s="18">
        <f>F6*(1+G5)</f>
        <v>11942060274.965544</v>
      </c>
      <c r="H6" s="18">
        <f>G6*(1+H5)</f>
        <v>12332235314.010695</v>
      </c>
      <c r="I6" s="18">
        <f>H6*(1+I5)</f>
        <v>12703619255.030565</v>
      </c>
      <c r="J6" s="18">
        <f>I6*(1+J5)</f>
        <v>13053698559.962223</v>
      </c>
      <c r="K6" s="18">
        <f>J6*(1+K5)</f>
        <v>13380041023.961277</v>
      </c>
    </row>
    <row r="7" spans="1:11" x14ac:dyDescent="0.25">
      <c r="A7" t="s">
        <v>4</v>
      </c>
      <c r="B7" s="9">
        <f>Assumptions!B7</f>
        <v>0.17311914850552942</v>
      </c>
      <c r="C7" s="9">
        <f>Assumptions!B7</f>
        <v>0.17311914850552942</v>
      </c>
      <c r="D7" s="9">
        <f>Assumptions!B7</f>
        <v>0.17311914850552942</v>
      </c>
      <c r="E7" s="9">
        <f>Assumptions!B7</f>
        <v>0.17311914850552942</v>
      </c>
      <c r="F7" s="9">
        <f>Assumptions!B7</f>
        <v>0.17311914850552942</v>
      </c>
      <c r="G7" s="9">
        <f>Assumptions!B7</f>
        <v>0.17311914850552942</v>
      </c>
      <c r="H7" s="9">
        <f>Assumptions!B7</f>
        <v>0.17311914850552942</v>
      </c>
      <c r="I7" s="9">
        <f>Assumptions!B7</f>
        <v>0.17311914850552942</v>
      </c>
      <c r="J7" s="9">
        <f>Assumptions!B7</f>
        <v>0.17311914850552942</v>
      </c>
      <c r="K7" s="9">
        <f>Assumptions!B7</f>
        <v>0.17311914850552942</v>
      </c>
    </row>
    <row r="8" spans="1:11" x14ac:dyDescent="0.25">
      <c r="A8" t="s">
        <v>51</v>
      </c>
      <c r="B8" s="18">
        <f>B6*B7</f>
        <v>1696489751.737361</v>
      </c>
      <c r="C8" s="18">
        <f>C6*C7</f>
        <v>1773611446.5003686</v>
      </c>
      <c r="D8" s="18">
        <f>D6*D7</f>
        <v>1849703144.3902657</v>
      </c>
      <c r="E8" s="18">
        <f>E6*E7</f>
        <v>1924328821.3355994</v>
      </c>
      <c r="F8" s="18">
        <f>F6*F7</f>
        <v>1997043879.60743</v>
      </c>
      <c r="G8" s="18">
        <f>G6*G7</f>
        <v>2067399306.2037435</v>
      </c>
      <c r="H8" s="18">
        <f>H6*H7</f>
        <v>2134946076.7313516</v>
      </c>
      <c r="I8" s="18">
        <f>I6*I7</f>
        <v>2199239748.3693395</v>
      </c>
      <c r="J8" s="18">
        <f>J6*J7</f>
        <v>2259845179.548516</v>
      </c>
      <c r="K8" s="18">
        <f>K6*K7</f>
        <v>2316341309.037228</v>
      </c>
    </row>
    <row r="9" spans="1:11" x14ac:dyDescent="0.25">
      <c r="A9" t="s">
        <v>52</v>
      </c>
      <c r="B9" s="18">
        <f>B8*(1-Assumptions!B8)</f>
        <v>1340226903.8725152</v>
      </c>
      <c r="C9" s="18">
        <f>C8*(1-Assumptions!B8)</f>
        <v>1401153042.7352912</v>
      </c>
      <c r="D9" s="18">
        <f>D8*(1-Assumptions!B8)</f>
        <v>1461265484.06831</v>
      </c>
      <c r="E9" s="18">
        <f>E8*(1-Assumptions!B8)</f>
        <v>1520219768.8551235</v>
      </c>
      <c r="F9" s="18">
        <f>F8*(1-Assumptions!B8)</f>
        <v>1577664664.8898697</v>
      </c>
      <c r="G9" s="18">
        <f>G8*(1-Assumptions!B8)</f>
        <v>1633245451.9009573</v>
      </c>
      <c r="H9" s="18">
        <f>H8*(1-Assumptions!B8)</f>
        <v>1686607400.6177678</v>
      </c>
      <c r="I9" s="18">
        <f>I8*(1-Assumptions!B8)</f>
        <v>1737399401.2117782</v>
      </c>
      <c r="J9" s="18">
        <f>J8*(1-Assumptions!B8)</f>
        <v>1785277691.8433275</v>
      </c>
      <c r="K9" s="18">
        <f>K8*(1-Assumptions!B8)</f>
        <v>1829909634.1394103</v>
      </c>
    </row>
    <row r="10" spans="1:11" x14ac:dyDescent="0.25">
      <c r="A10" t="s">
        <v>53</v>
      </c>
      <c r="B10" s="18">
        <f>B6*Assumptions!B9</f>
        <v>2458937654.924287</v>
      </c>
      <c r="C10" s="18">
        <f>C6*Assumptions!B9</f>
        <v>2570719903.576323</v>
      </c>
      <c r="D10" s="18">
        <f>D6*Assumptions!B9</f>
        <v>2681009247.191266</v>
      </c>
      <c r="E10" s="18">
        <f>E6*Assumptions!B9</f>
        <v>2789173700.8092003</v>
      </c>
      <c r="F10" s="18">
        <f>F6*Assumptions!B9</f>
        <v>2894568852.5815635</v>
      </c>
      <c r="G10" s="18">
        <f>G6*Assumptions!B9</f>
        <v>2996543891.0448194</v>
      </c>
      <c r="H10" s="18">
        <f>H6*Assumptions!B9</f>
        <v>3094447988.2247586</v>
      </c>
      <c r="I10" s="18">
        <f>I6*Assumptions!B9</f>
        <v>3187636956.800657</v>
      </c>
      <c r="J10" s="18">
        <f>J6*Assumptions!B9</f>
        <v>3275480090.934997</v>
      </c>
      <c r="K10" s="18">
        <f>K6*Assumptions!B9</f>
        <v>3357367093.2083716</v>
      </c>
    </row>
    <row r="11" spans="1:11" x14ac:dyDescent="0.25">
      <c r="A11" t="s">
        <v>54</v>
      </c>
      <c r="B11" s="18">
        <f>-B6*B19</f>
        <v>-2459405742.324598</v>
      </c>
      <c r="C11" s="18">
        <f>-C6*C19</f>
        <v>-2597696235.626216</v>
      </c>
      <c r="D11" s="18">
        <f>-D6*D19</f>
        <v>-2736766233.8543673</v>
      </c>
      <c r="E11" s="18">
        <f>-E6*E19</f>
        <v>-2875917951.439451</v>
      </c>
      <c r="F11" s="18">
        <f>-F6*F19</f>
        <v>-3014414615.2158237</v>
      </c>
      <c r="G11" s="18">
        <f>-G6*G19</f>
        <v>-3151486163.156231</v>
      </c>
      <c r="H11" s="18">
        <f>-H6*H19</f>
        <v>-3286335693.6078386</v>
      </c>
      <c r="I11" s="18">
        <f>-I6*I19</f>
        <v>-3418146603.00962</v>
      </c>
      <c r="J11" s="18">
        <f>-J6*J19</f>
        <v>-3546090333.9948025</v>
      </c>
      <c r="K11" s="18">
        <f>-K6*K19</f>
        <v>-3669334640.499207</v>
      </c>
    </row>
    <row r="12" spans="1:11" x14ac:dyDescent="0.25">
      <c r="A12" t="s">
        <v>55</v>
      </c>
      <c r="B12" s="18">
        <f>-(B6-Assumptions!B29)*Assumptions!B11</f>
        <v>119093121.6697296</v>
      </c>
      <c r="C12" s="18">
        <f>-(C6-B6)*Assumptions!B11</f>
        <v>-22203436.11355178</v>
      </c>
      <c r="D12" s="18">
        <f>-(D6-C6)*Assumptions!B11</f>
        <v>-21906898.675681043</v>
      </c>
      <c r="E12" s="18">
        <f>-(E6-D6)*Assumptions!B11</f>
        <v>-21484829.341186177</v>
      </c>
      <c r="F12" s="18">
        <f>-(F6-E6)*Assumptions!B11</f>
        <v>-20934759.7429382</v>
      </c>
      <c r="G12" s="18">
        <f>-(G6-F6)*Assumptions!B11</f>
        <v>-20255418.71808323</v>
      </c>
      <c r="H12" s="18">
        <f>-(H6-G6)*Assumptions!B11</f>
        <v>-19446802.987087253</v>
      </c>
      <c r="I12" s="18">
        <f>-(I6-H6)*Assumptions!B11</f>
        <v>-18510231.590559818</v>
      </c>
      <c r="J12" s="18">
        <f>-(J6-I6)*Assumptions!B11</f>
        <v>-17448382.370955784</v>
      </c>
      <c r="K12" s="18">
        <f>-(K6-J6)*Assumptions!B11</f>
        <v>-16265309.075744916</v>
      </c>
    </row>
    <row r="13" spans="1:11" x14ac:dyDescent="0.25">
      <c r="A13" s="19" t="s">
        <v>56</v>
      </c>
      <c r="B13" s="20">
        <f>B9+B10+B11+B12</f>
        <v>1458851938.141934</v>
      </c>
      <c r="C13" s="20">
        <f>C9+C10+C11+C12</f>
        <v>1351973274.5718462</v>
      </c>
      <c r="D13" s="20">
        <f>D9+D10+D11+D12</f>
        <v>1383601598.7295275</v>
      </c>
      <c r="E13" s="20">
        <f>E9+E10+E11+E12</f>
        <v>1411990688.8836863</v>
      </c>
      <c r="F13" s="20">
        <f>F9+F10+F11+F12</f>
        <v>1436884142.5126717</v>
      </c>
      <c r="G13" s="20">
        <f>G9+G10+G11+G12</f>
        <v>1458047761.0714629</v>
      </c>
      <c r="H13" s="20">
        <f>H9+H10+H11+H12</f>
        <v>1475272892.2476006</v>
      </c>
      <c r="I13" s="20">
        <f>I9+I10+I11+I12</f>
        <v>1488379523.412255</v>
      </c>
      <c r="J13" s="20">
        <f>J9+J10+J11+J12</f>
        <v>1497219066.412566</v>
      </c>
      <c r="K13" s="20">
        <f>K9+K10+K11+K12</f>
        <v>1501676777.7728302</v>
      </c>
    </row>
    <row r="14" spans="1:11" x14ac:dyDescent="0.25">
      <c r="A14" t="s">
        <v>57</v>
      </c>
      <c r="B14" s="21">
        <f>1/(1+Assumptions!$B$26)^(1-0.5*Assumptions!$B$32)</f>
        <v>0.9677288020899972</v>
      </c>
      <c r="C14" s="21">
        <f>1/(1+Assumptions!$B$26)^(2-0.5*Assumptions!$B$32)</f>
        <v>0.9062770887130683</v>
      </c>
      <c r="D14" s="21">
        <f>1/(1+Assumptions!$B$26)^(3-0.5*Assumptions!$B$32)</f>
        <v>0.8487276184736843</v>
      </c>
      <c r="E14" s="21">
        <f>1/(1+Assumptions!$B$26)^(4-0.5*Assumptions!$B$32)</f>
        <v>0.7948325951645837</v>
      </c>
      <c r="F14" s="21">
        <f>1/(1+Assumptions!$B$26)^(5-0.5*Assumptions!$B$32)</f>
        <v>0.7443599578769396</v>
      </c>
      <c r="G14" s="21">
        <f>1/(1+Assumptions!$B$26)^(6-0.5*Assumptions!$B$32)</f>
        <v>0.6970923817937151</v>
      </c>
      <c r="H14" s="21">
        <f>1/(1+Assumptions!$B$26)^(7-0.5*Assumptions!$B$32)</f>
        <v>0.6528263424336049</v>
      </c>
      <c r="I14" s="21">
        <f>1/(1+Assumptions!$B$26)^(8-0.5*Assumptions!$B$32)</f>
        <v>0.611371239316391</v>
      </c>
      <c r="J14" s="21">
        <f>1/(1+Assumptions!$B$26)^(9-0.5*Assumptions!$B$32)</f>
        <v>0.572548575276394</v>
      </c>
      <c r="K14" s="21">
        <f>1/(1+Assumptions!$B$26)^(10-0.5*Assumptions!$B$32)</f>
        <v>0.5361911878903132</v>
      </c>
    </row>
    <row r="15" spans="1:11" x14ac:dyDescent="0.25">
      <c r="A15" s="19" t="s">
        <v>58</v>
      </c>
      <c r="B15" s="20">
        <f>B13*B14</f>
        <v>1411773038.5247645</v>
      </c>
      <c r="C15" s="20">
        <f>C13*C14</f>
        <v>1225262403.2968466</v>
      </c>
      <c r="D15" s="20">
        <f>D13*D14</f>
        <v>1174300889.806094</v>
      </c>
      <c r="E15" s="20">
        <f>E13*E14</f>
        <v>1122296223.5936487</v>
      </c>
      <c r="F15" s="20">
        <f>F13*F14</f>
        <v>1069559019.7947749</v>
      </c>
      <c r="G15" s="20">
        <f>G13*G14</f>
        <v>1016393986.5342997</v>
      </c>
      <c r="H15" s="20">
        <f>H13*H14</f>
        <v>963097006.3374468</v>
      </c>
      <c r="I15" s="20">
        <f>I13*I14</f>
        <v>909952433.8016899</v>
      </c>
      <c r="J15" s="20">
        <f>J13*J14</f>
        <v>857230643.3511674</v>
      </c>
      <c r="K15" s="20">
        <f>K13*K14</f>
        <v>805185855.3013117</v>
      </c>
    </row>
    <row r="17" spans="1:2" x14ac:dyDescent="0.25">
      <c r="A17" s="22" t="s">
        <v>59</v>
      </c>
      <c r="B17" s="23">
        <f>SUM(B15:K15)</f>
        <v>10555051500.342045</v>
      </c>
    </row>
    <row r="19" spans="1:11" x14ac:dyDescent="0.25">
      <c r="A19" t="s">
        <v>7</v>
      </c>
      <c r="B19" s="9">
        <f>Assumptions!$B$10+($B$20-Assumptions!$B$10)*0/9</f>
        <v>0.250971293817022</v>
      </c>
      <c r="C19" s="9">
        <f>Assumptions!$B$10+($B$20-Assumptions!$B$10)*1/9</f>
        <v>0.25355664075972467</v>
      </c>
      <c r="D19" s="9">
        <f>Assumptions!$B$10+($B$20-Assumptions!$B$10)*2/9</f>
        <v>0.25614198770242735</v>
      </c>
      <c r="E19" s="9">
        <f>Assumptions!$B$10+($B$20-Assumptions!$B$10)*3/9</f>
        <v>0.25872733464513004</v>
      </c>
      <c r="F19" s="9">
        <f>Assumptions!$B$10+($B$20-Assumptions!$B$10)*4/9</f>
        <v>0.2613126815878327</v>
      </c>
      <c r="G19" s="9">
        <f>Assumptions!$B$10+($B$20-Assumptions!$B$10)*5/9</f>
        <v>0.26389802853053546</v>
      </c>
      <c r="H19" s="9">
        <f>Assumptions!$B$10+($B$20-Assumptions!$B$10)*6/9</f>
        <v>0.26648337547323814</v>
      </c>
      <c r="I19" s="9">
        <f>Assumptions!$B$10+($B$20-Assumptions!$B$10)*7/9</f>
        <v>0.2690687224159408</v>
      </c>
      <c r="J19" s="9">
        <f>Assumptions!$B$10+($B$20-Assumptions!$B$10)*8/9</f>
        <v>0.2716540693586435</v>
      </c>
      <c r="K19" s="9">
        <f>Assumptions!$B$10+($B$20-Assumptions!$B$10)*9/9</f>
        <v>0.2742394163013462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0.2742394163013462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1501676777.7728302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1829909634.1394103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0.1704824880260007</v>
      </c>
    </row>
    <row r="7" spans="1:2" x14ac:dyDescent="0.25">
      <c r="A7" t="s">
        <v>66</v>
      </c>
      <c r="B7" s="18">
        <f>-MAX(B5,0)*B6</f>
        <v>-311967547.2908353</v>
      </c>
    </row>
    <row r="8" spans="1:2" x14ac:dyDescent="0.25">
      <c r="A8" t="s">
        <v>67</v>
      </c>
      <c r="B8" s="18">
        <f>IF(OR(Assumptions!$B$33=0,Assumptions!B12&lt;=0),B5,MAX(B5+B7,0))</f>
        <v>1517942086.8485749</v>
      </c>
    </row>
    <row r="9" spans="1:2" x14ac:dyDescent="0.25">
      <c r="A9" t="s">
        <v>68</v>
      </c>
      <c r="B9" s="18">
        <f>B8*(1+Assumptions!B12)/(Assumptions!B26-Assumptions!B12)</f>
        <v>36346843952.275116</v>
      </c>
    </row>
    <row r="10" spans="1:2" x14ac:dyDescent="0.25">
      <c r="A10" t="s">
        <v>69</v>
      </c>
      <c r="B10" s="18">
        <f>B9/(1+Assumptions!B26)^(10-0.5*Assumptions!B32)</f>
        <v>19488857434.83424</v>
      </c>
    </row>
    <row r="11" spans="1:2" x14ac:dyDescent="0.25">
      <c r="A11" t="s">
        <v>70</v>
      </c>
      <c r="B11" s="18">
        <f>Forecast!B17+B10</f>
        <v>30043908935.176285</v>
      </c>
    </row>
    <row r="12" spans="1:2" x14ac:dyDescent="0.25">
      <c r="A12" t="s">
        <v>71</v>
      </c>
      <c r="B12" s="18">
        <f>-Assumptions!B30</f>
        <v>-4444000000</v>
      </c>
    </row>
    <row r="13" spans="1:2" x14ac:dyDescent="0.25">
      <c r="A13" t="s">
        <v>72</v>
      </c>
      <c r="B13" s="18">
        <f>B11+B12</f>
        <v>25599908935.176285</v>
      </c>
    </row>
    <row r="14" spans="1:2" x14ac:dyDescent="0.25">
      <c r="A14" s="19" t="s">
        <v>73</v>
      </c>
      <c r="B14" s="24">
        <f>B13/Assumptions!B31</f>
        <v>106.50209649780041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5673708402.2456</v>
      </c>
    </row>
    <row r="18" spans="1:2" x14ac:dyDescent="0.25">
      <c r="A18" t="s">
        <v>68</v>
      </c>
      <c r="B18" s="18">
        <f>B17*Assumptions!B13</f>
        <v>25016396368.45859</v>
      </c>
    </row>
    <row r="19" spans="1:2" x14ac:dyDescent="0.25">
      <c r="A19" t="s">
        <v>69</v>
      </c>
      <c r="B19" s="18">
        <f>B18/(1+Assumptions!B26)^(10-0.5*Assumptions!B32)</f>
        <v>13413571285.538729</v>
      </c>
    </row>
    <row r="20" spans="1:2" x14ac:dyDescent="0.25">
      <c r="A20" t="s">
        <v>70</v>
      </c>
      <c r="B20" s="18">
        <f>Forecast!B17+B19</f>
        <v>23968622785.880775</v>
      </c>
    </row>
    <row r="21" spans="1:2" x14ac:dyDescent="0.25">
      <c r="A21" t="s">
        <v>71</v>
      </c>
      <c r="B21" s="18">
        <f>-Assumptions!B30</f>
        <v>-4444000000</v>
      </c>
    </row>
    <row r="22" spans="1:2" x14ac:dyDescent="0.25">
      <c r="A22" t="s">
        <v>72</v>
      </c>
      <c r="B22" s="18">
        <f>B20+B21</f>
        <v>19524622785.880775</v>
      </c>
    </row>
    <row r="23" spans="1:2" x14ac:dyDescent="0.25">
      <c r="A23" s="19" t="s">
        <v>73</v>
      </c>
      <c r="B23" s="25">
        <f>B22/Assumptions!B31</f>
        <v>81.22736941332435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90.55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106.50209649780041</v>
      </c>
    </row>
    <row r="29" spans="1:2" x14ac:dyDescent="0.25">
      <c r="A29" s="19" t="s">
        <v>81</v>
      </c>
      <c r="B29" s="11">
        <f>B28/B26-1</f>
        <v>0.17616892874434464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0.047807</v>
      </c>
      <c r="B5" s="31">
        <v>166.84805507862993</v>
      </c>
      <c r="C5" s="31">
        <v>185.04980458580067</v>
      </c>
      <c r="D5" s="31">
        <v>211.542285493988</v>
      </c>
      <c r="E5" s="31">
        <v>253.309322760526</v>
      </c>
      <c r="F5" s="31">
        <v>328.24100347647885</v>
      </c>
    </row>
    <row r="6" spans="1:6" x14ac:dyDescent="0.25">
      <c r="A6" s="30">
        <v>0.057807</v>
      </c>
      <c r="B6" s="31">
        <v>124.00302290131874</v>
      </c>
      <c r="C6" s="31">
        <v>132.1728602723574</v>
      </c>
      <c r="D6" s="31">
        <v>143.03632854433124</v>
      </c>
      <c r="E6" s="31">
        <v>158.04645981397957</v>
      </c>
      <c r="F6" s="31">
        <v>179.93048453533473</v>
      </c>
    </row>
    <row r="7" spans="1:6" x14ac:dyDescent="0.25">
      <c r="A7" s="30">
        <v>0.067807</v>
      </c>
      <c r="B7" s="31">
        <v>97.39568044400419</v>
      </c>
      <c r="C7" s="31">
        <v>101.40647023782164</v>
      </c>
      <c r="D7" s="32">
        <v>106.5014250990342</v>
      </c>
      <c r="E7" s="31">
        <v>113.11068960433217</v>
      </c>
      <c r="F7" s="31">
        <v>121.92663564572878</v>
      </c>
    </row>
    <row r="8" spans="1:6" x14ac:dyDescent="0.25">
      <c r="A8" s="30">
        <v>0.077807</v>
      </c>
      <c r="B8" s="31">
        <v>79.26916773262212</v>
      </c>
      <c r="C8" s="31">
        <v>81.2764292097725</v>
      </c>
      <c r="D8" s="31">
        <v>83.77663056269813</v>
      </c>
      <c r="E8" s="31">
        <v>86.9244373871618</v>
      </c>
      <c r="F8" s="31">
        <v>90.94677710328325</v>
      </c>
    </row>
    <row r="9" spans="1:6" x14ac:dyDescent="0.25">
      <c r="A9" s="30">
        <v>0.087807</v>
      </c>
      <c r="B9" s="31">
        <v>66.1282984746246</v>
      </c>
      <c r="C9" s="31">
        <v>67.07724703825184</v>
      </c>
      <c r="D9" s="31">
        <v>68.26704918236595</v>
      </c>
      <c r="E9" s="31">
        <v>69.76020259249475</v>
      </c>
      <c r="F9" s="31">
        <v>71.64287518179779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12189000000</v>
      </c>
      <c r="C5" s="18">
        <v>4221000000</v>
      </c>
      <c r="D5" s="18">
        <v>7775000000</v>
      </c>
      <c r="E5" s="18">
        <v>11443000000</v>
      </c>
      <c r="F5" s="6" t="s">
        <v>91</v>
      </c>
    </row>
    <row r="6" spans="1:6" x14ac:dyDescent="0.25">
      <c r="A6" t="s">
        <v>51</v>
      </c>
      <c r="B6" s="18">
        <v>2771000000</v>
      </c>
      <c r="C6" s="18">
        <v>-697000000</v>
      </c>
      <c r="D6" s="18">
        <v>2368000000</v>
      </c>
      <c r="E6" s="18">
        <v>3727000000</v>
      </c>
      <c r="F6" s="6" t="s">
        <v>92</v>
      </c>
    </row>
    <row r="7" spans="1:6" x14ac:dyDescent="0.25">
      <c r="A7" t="s">
        <v>93</v>
      </c>
      <c r="B7" s="18">
        <v>2980000000</v>
      </c>
      <c r="C7" s="18">
        <v>1729000000</v>
      </c>
      <c r="D7" s="18">
        <v>1527000000</v>
      </c>
      <c r="E7" s="18">
        <v>1753000000</v>
      </c>
      <c r="F7" s="6" t="s">
        <v>94</v>
      </c>
    </row>
    <row r="8" spans="1:6" x14ac:dyDescent="0.25">
      <c r="A8" t="s">
        <v>95</v>
      </c>
      <c r="B8" s="18">
        <v>2931000000</v>
      </c>
      <c r="C8" s="18">
        <v>1557000000</v>
      </c>
      <c r="D8" s="18">
        <v>1829000000</v>
      </c>
      <c r="E8" s="18">
        <v>1823000000</v>
      </c>
      <c r="F8" s="6" t="s">
        <v>96</v>
      </c>
    </row>
    <row r="9" spans="1:6" x14ac:dyDescent="0.25">
      <c r="A9" t="s">
        <v>97</v>
      </c>
      <c r="B9" s="18">
        <v>285000000</v>
      </c>
      <c r="C9" s="18">
        <v>315000000</v>
      </c>
      <c r="D9" s="18">
        <v>-275000000</v>
      </c>
      <c r="E9" s="18">
        <v>123000000</v>
      </c>
      <c r="F9" s="6" t="s">
        <v>98</v>
      </c>
    </row>
    <row r="10" spans="1:6" x14ac:dyDescent="0.25">
      <c r="A10" t="s">
        <v>99</v>
      </c>
      <c r="B10" s="18">
        <v>5060000000</v>
      </c>
      <c r="C10" s="18">
        <v>5751000000</v>
      </c>
      <c r="D10" s="18">
        <v>2112000000</v>
      </c>
      <c r="E10" s="18">
        <v>3179000000</v>
      </c>
      <c r="F10" s="6" t="s">
        <v>100</v>
      </c>
    </row>
    <row r="11" spans="1:6" x14ac:dyDescent="0.25">
      <c r="A11" t="s">
        <v>101</v>
      </c>
      <c r="B11" s="18">
        <v>616000000</v>
      </c>
      <c r="C11" s="18">
        <v>317000000</v>
      </c>
      <c r="D11" s="18">
        <v>1079000000</v>
      </c>
      <c r="E11" s="18">
        <v>130000000</v>
      </c>
      <c r="F11" s="6" t="s">
        <v>102</v>
      </c>
    </row>
    <row r="12" spans="1:6" x14ac:dyDescent="0.25">
      <c r="A12" t="s">
        <v>34</v>
      </c>
      <c r="B12" s="34">
        <v>240370000</v>
      </c>
      <c r="C12" s="34">
        <v>156989000</v>
      </c>
      <c r="D12" s="34">
        <v>142976000</v>
      </c>
      <c r="E12" s="34">
        <v>145961000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