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<sst xmlns="http://schemas.openxmlformats.org/spreadsheetml/2006/main" count="111" uniqueCount="99">
  <si>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Expand Energy Corporation (EXE)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</si>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</sst>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0.021275059999324775</v>
      </c>
    </row>
    <row r="7" spans="1:2" x14ac:dyDescent="0.25">
      <c r="A7" t="s">
        <v>5</v>
      </c>
      <c r="B7" s="6">
        <v>0.17311914850552942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0.25092352760323555</v>
      </c>
    </row>
    <row r="10" spans="1:2" x14ac:dyDescent="0.25">
      <c r="A10" t="s">
        <v>8</v>
      </c>
      <c r="B10" s="6">
        <v>0.250971293817022</v>
      </c>
    </row>
    <row r="11" spans="1:2" x14ac:dyDescent="0.25">
      <c r="A11" t="s">
        <v>9</v>
      </c>
      <c r="B11" s="6">
        <v>0.03576807228915663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4.294603607024865</v>
      </c>
    </row>
    <row r="14" spans="1:3" x14ac:dyDescent="0.25">
      <c r="A14" t="s">
        <v>12</v>
      </c>
      <c r="B14" s="6">
        <v>0.14664262757701654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0.54641</v>
      </c>
      <c r="C19" s="8" t="s">
        <v>19</v>
      </c>
    </row>
    <row r="20" spans="1:2" x14ac:dyDescent="0.25">
      <c r="A20" t="s">
        <v>20</v>
      </c>
      <c r="B20" s="10">
        <f>B17+B19*B18</f>
        <v>0.08003255000000001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20254265344</v>
      </c>
    </row>
    <row r="23" spans="1:2" x14ac:dyDescent="0.25">
      <c r="A23" t="s">
        <v>24</v>
      </c>
      <c r="B23" s="11">
        <v>5060000000</v>
      </c>
    </row>
    <row r="24" spans="1:2" x14ac:dyDescent="0.25">
      <c r="A24" t="s">
        <v>25</v>
      </c>
      <c r="B24" s="10">
        <f>B22/(B22+B23)</f>
        <v>0.8001127059687978</v>
      </c>
    </row>
    <row r="25" spans="1:2" x14ac:dyDescent="0.25">
      <c r="A25" t="s">
        <v>26</v>
      </c>
      <c r="B25" s="10">
        <f>1-B24</f>
        <v>0.1998872940312022</v>
      </c>
    </row>
    <row r="26" spans="1:2" x14ac:dyDescent="0.25">
      <c r="A26" t="s">
        <v>27</v>
      </c>
      <c r="B26" s="12">
        <f>B24*B20+B25*B21*(1-B8)</f>
        <v>0.0719274500410699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12189000000</v>
      </c>
      <c r="C29" s="8" t="s">
        <v>30</v>
      </c>
    </row>
    <row r="30" spans="1:2" x14ac:dyDescent="0.25">
      <c r="A30" t="s">
        <v>31</v>
      </c>
      <c r="B30" s="11">
        <v>4444000000</v>
      </c>
    </row>
    <row r="31" spans="1:2" x14ac:dyDescent="0.25">
      <c r="A31" t="s">
        <v>32</v>
      </c>
      <c r="B31" s="13">
        <v>240370000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0.021275059999324775</v>
      </c>
      <c r="C5" s="10">
        <f>Assumptions!B6</f>
        <v>0.021275059999324775</v>
      </c>
      <c r="D5" s="10">
        <f>Assumptions!B6</f>
        <v>0.021275059999324775</v>
      </c>
      <c r="E5" s="10">
        <f>Assumptions!B6</f>
        <v>0.021275059999324775</v>
      </c>
      <c r="F5" s="10">
        <f>Assumptions!B6</f>
        <v>0.021275059999324775</v>
      </c>
    </row>
    <row r="6" spans="1:6" x14ac:dyDescent="0.25">
      <c r="A6" t="s">
        <v>43</v>
      </c>
      <c r="B6" s="18">
        <f>Assumptions!B29*(1+B5)</f>
        <v>12448321706.33177</v>
      </c>
      <c r="C6" s="18">
        <f>B6*(1+C5)</f>
        <v>12713160497.524876</v>
      </c>
      <c r="D6" s="18">
        <f>C6*(1+D5)</f>
        <v>12983633749.890762</v>
      </c>
      <c r="E6" s="18">
        <f>D6*(1+E5)</f>
        <v>13259861336.928946</v>
      </c>
      <c r="F6" s="18">
        <f>E6*(1+F5)</f>
        <v>13541965682.454836</v>
      </c>
    </row>
    <row r="7" spans="1:6" x14ac:dyDescent="0.25">
      <c r="A7" t="s">
        <v>5</v>
      </c>
      <c r="B7" s="10">
        <f>Assumptions!B7</f>
        <v>0.17311914850552942</v>
      </c>
      <c r="C7" s="10">
        <f>Assumptions!B7</f>
        <v>0.17311914850552942</v>
      </c>
      <c r="D7" s="10">
        <f>Assumptions!B7</f>
        <v>0.17311914850552942</v>
      </c>
      <c r="E7" s="10">
        <f>Assumptions!B7</f>
        <v>0.17311914850552942</v>
      </c>
      <c r="F7" s="10">
        <f>Assumptions!B7</f>
        <v>0.17311914850552942</v>
      </c>
    </row>
    <row r="8" spans="1:6" x14ac:dyDescent="0.25">
      <c r="A8" t="s">
        <v>44</v>
      </c>
      <c r="B8" s="18">
        <f>B6*B7</f>
        <v>2155042854.123055</v>
      </c>
      <c r="C8" s="18">
        <f>C6*C7</f>
        <v>2200891520.1456394</v>
      </c>
      <c r="D8" s="18">
        <f>D6*D7</f>
        <v>2247715619.2887425</v>
      </c>
      <c r="E8" s="18">
        <f>E6*E7</f>
        <v>2295535903.95053</v>
      </c>
      <c r="F8" s="18">
        <f>F6*F7</f>
        <v>2344373568.037682</v>
      </c>
    </row>
    <row r="9" spans="1:6" x14ac:dyDescent="0.25">
      <c r="A9" t="s">
        <v>45</v>
      </c>
      <c r="B9" s="18">
        <f>B8*(1-Assumptions!B8)</f>
        <v>1702483854.7572136</v>
      </c>
      <c r="C9" s="18">
        <f>C8*(1-Assumptions!B8)</f>
        <v>1738704300.9150553</v>
      </c>
      <c r="D9" s="18">
        <f>D8*(1-Assumptions!B8)</f>
        <v>1775695339.2381067</v>
      </c>
      <c r="E9" s="18">
        <f>E8*(1-Assumptions!B8)</f>
        <v>1813473364.1209188</v>
      </c>
      <c r="F9" s="18">
        <f>F8*(1-Assumptions!B8)</f>
        <v>1852055118.749769</v>
      </c>
    </row>
    <row r="10" spans="1:6" x14ac:dyDescent="0.25">
      <c r="A10" t="s">
        <v>46</v>
      </c>
      <c r="B10" s="18">
        <f>B6*Assumptions!B9</f>
        <v>3123576795.292696</v>
      </c>
      <c r="C10" s="18">
        <f>C6*Assumptions!B9</f>
        <v>3190031079.025047</v>
      </c>
      <c r="D10" s="18">
        <f>D6*Assumptions!B9</f>
        <v>3257899181.6310153</v>
      </c>
      <c r="E10" s="18">
        <f>E6*Assumptions!B9</f>
        <v>3327211182.191966</v>
      </c>
      <c r="F10" s="18">
        <f>F6*Assumptions!B9</f>
        <v>3397997799.7235246</v>
      </c>
    </row>
    <row r="11" spans="1:6" x14ac:dyDescent="0.25">
      <c r="A11" t="s">
        <v>47</v>
      </c>
      <c r="B11" s="18">
        <f>-B6*Assumptions!B10</f>
        <v>-3124171404.488603</v>
      </c>
      <c r="C11" s="18">
        <f>-C6*Assumptions!B10</f>
        <v>-3190638338.567273</v>
      </c>
      <c r="D11" s="18">
        <f>-D6*Assumptions!B10</f>
        <v>-3258519360.6564374</v>
      </c>
      <c r="E11" s="18">
        <f>-E6*Assumptions!B10</f>
        <v>-3327844555.5633645</v>
      </c>
      <c r="F11" s="18">
        <f>-F6*Assumptions!B10</f>
        <v>-3398644648.1514015</v>
      </c>
    </row>
    <row r="12" spans="1:6" x14ac:dyDescent="0.25">
      <c r="A12" t="s">
        <v>48</v>
      </c>
      <c r="B12" s="18">
        <f>-(B6-Assumptions!B29)*Assumptions!B11</f>
        <v>-9275437.538222194</v>
      </c>
      <c r="C12" s="18">
        <f>-(C6-B6)*Assumptions!B11</f>
        <v>-9472773.028367862</v>
      </c>
      <c r="D12" s="18">
        <f>-(D6-C6)*Assumptions!B11</f>
        <v>-9674306.84290634</v>
      </c>
      <c r="E12" s="18">
        <f>-(E6-D6)*Assumptions!B11</f>
        <v>-9880128.301441042</v>
      </c>
      <c r="F12" s="18">
        <f>-(F6-E6)*Assumptions!B11</f>
        <v>-10090328.623855265</v>
      </c>
    </row>
    <row r="13" spans="1:6" x14ac:dyDescent="0.25">
      <c r="A13" s="19" t="s">
        <v>49</v>
      </c>
      <c r="B13" s="20">
        <f>B9+B10+B11+B12</f>
        <v>1692613808.0230842</v>
      </c>
      <c r="C13" s="20">
        <f>C9+C10+C11+C12</f>
        <v>1728624268.3444607</v>
      </c>
      <c r="D13" s="20">
        <f>D9+D10+D11+D12</f>
        <v>1765400853.369778</v>
      </c>
      <c r="E13" s="20">
        <f>E9+E10+E11+E12</f>
        <v>1802959862.4480798</v>
      </c>
      <c r="F13" s="20">
        <f>F9+F10+F11+F12</f>
        <v>1841317941.6980364</v>
      </c>
    </row>
    <row r="14" spans="1:6" x14ac:dyDescent="0.25">
      <c r="A14" t="s">
        <v>50</v>
      </c>
      <c r="B14" s="21">
        <f>1/(1+Assumptions!$B$26)^(1-0.5*Assumptions!$B$32)</f>
        <v>0.9658669457462911</v>
      </c>
      <c r="C14" s="21">
        <f>1/(1+Assumptions!$B$26)^(2-0.5*Assumptions!$B$32)</f>
        <v>0.9010562661766752</v>
      </c>
      <c r="D14" s="21">
        <f>1/(1+Assumptions!$B$26)^(3-0.5*Assumptions!$B$32)</f>
        <v>0.8405944508111554</v>
      </c>
      <c r="E14" s="21">
        <f>1/(1+Assumptions!$B$26)^(4-0.5*Assumptions!$B$32)</f>
        <v>0.7841896863252721</v>
      </c>
      <c r="F14" s="21">
        <f>1/(1+Assumptions!$B$26)^(5-0.5*Assumptions!$B$32)</f>
        <v>0.7315697403730325</v>
      </c>
    </row>
    <row r="15" spans="1:6" x14ac:dyDescent="0.25">
      <c r="A15" s="19" t="s">
        <v>51</v>
      </c>
      <c r="B15" s="20">
        <f>B13*B14</f>
        <v>1634839729.0832553</v>
      </c>
      <c r="C15" s="20">
        <f>C13*C14</f>
        <v>1557587728.8568468</v>
      </c>
      <c r="D15" s="20">
        <f>D13*D14</f>
        <v>1483986160.7999134</v>
      </c>
      <c r="E15" s="20">
        <f>E13*E14</f>
        <v>1413862528.9902153</v>
      </c>
      <c r="F15" s="20">
        <f>F13*F14</f>
        <v>1347052488.552239</v>
      </c>
    </row>
    <row r="17" spans="1:2" x14ac:dyDescent="0.25">
      <c r="A17" s="22" t="s">
        <v>52</v>
      </c>
      <c r="B17" s="23">
        <f>SUM(B15:F15)</f>
        <v>7437328636.282469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1841317941.6980364</v>
      </c>
    </row>
    <row r="5" spans="1:2" x14ac:dyDescent="0.25">
      <c r="A5" t="s">
        <v>56</v>
      </c>
      <c r="B5" s="18">
        <f>IF(Assumptions!$B$33=0,B4,B4-Forecast!F11-Forecast!F10-Forecast!F12)</f>
        <v>1852055118.749769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0.1704824880260007</v>
      </c>
    </row>
    <row r="7" spans="1:2" x14ac:dyDescent="0.25">
      <c r="A7" t="s">
        <v>58</v>
      </c>
      <c r="B7" s="18">
        <f>-MAX(Forecast!F9,0)*B6</f>
        <v>-315742964.6057508</v>
      </c>
    </row>
    <row r="8" spans="1:2" x14ac:dyDescent="0.25">
      <c r="A8" t="s">
        <v>59</v>
      </c>
      <c r="B8" s="18">
        <f>IF(OR(Assumptions!$B$33=0,Assumptions!B12&lt;=0),B5,MAX(B5+B7,0))</f>
        <v>1536312154.1440182</v>
      </c>
    </row>
    <row r="9" spans="1:2" x14ac:dyDescent="0.25">
      <c r="A9" t="s">
        <v>60</v>
      </c>
      <c r="B9" s="18">
        <f>B8*(1+Assumptions!B12)/(Assumptions!B26-Assumptions!B12)</f>
        <v>33556478279.119305</v>
      </c>
    </row>
    <row r="10" spans="1:2" x14ac:dyDescent="0.25">
      <c r="A10" t="s">
        <v>61</v>
      </c>
      <c r="B10" s="18">
        <f>B9/(1+Assumptions!B26)^(5-0.5*Assumptions!B32)</f>
        <v>24548904102.488613</v>
      </c>
    </row>
    <row r="11" spans="1:2" x14ac:dyDescent="0.25">
      <c r="A11" t="s">
        <v>62</v>
      </c>
      <c r="B11" s="18">
        <f>Forecast!B17+B10</f>
        <v>31986232738.77108</v>
      </c>
    </row>
    <row r="12" spans="1:2" x14ac:dyDescent="0.25">
      <c r="A12" t="s">
        <v>63</v>
      </c>
      <c r="B12" s="18">
        <f>-Assumptions!B30</f>
        <v>-4444000000</v>
      </c>
    </row>
    <row r="13" spans="1:2" x14ac:dyDescent="0.25">
      <c r="A13" t="s">
        <v>64</v>
      </c>
      <c r="B13" s="18">
        <f>B11+B12</f>
        <v>27542232738.77108</v>
      </c>
    </row>
    <row r="14" spans="1:2" x14ac:dyDescent="0.25">
      <c r="A14" s="19" t="s">
        <v>65</v>
      </c>
      <c r="B14" s="24">
        <f>B13/Assumptions!B31</f>
        <v>114.58265481870068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5742371367.761207</v>
      </c>
    </row>
    <row r="18" spans="1:2" x14ac:dyDescent="0.25">
      <c r="A18" t="s">
        <v>60</v>
      </c>
      <c r="B18" s="18">
        <f>B17*Assumptions!B13</f>
        <v>24661208788.863586</v>
      </c>
    </row>
    <row r="19" spans="1:2" x14ac:dyDescent="0.25">
      <c r="A19" t="s">
        <v>61</v>
      </c>
      <c r="B19" s="18">
        <f>B18/(1+Assumptions!B26)^(5-0.5*Assumptions!B32)</f>
        <v>18041394110.95408</v>
      </c>
    </row>
    <row r="20" spans="1:2" x14ac:dyDescent="0.25">
      <c r="A20" t="s">
        <v>62</v>
      </c>
      <c r="B20" s="18">
        <f>Forecast!B17+B19</f>
        <v>25478722747.23655</v>
      </c>
    </row>
    <row r="21" spans="1:2" x14ac:dyDescent="0.25">
      <c r="A21" t="s">
        <v>63</v>
      </c>
      <c r="B21" s="18">
        <f>-Assumptions!B30</f>
        <v>-4444000000</v>
      </c>
    </row>
    <row r="22" spans="1:2" x14ac:dyDescent="0.25">
      <c r="A22" t="s">
        <v>64</v>
      </c>
      <c r="B22" s="18">
        <f>B20+B21</f>
        <v>21034722747.23655</v>
      </c>
    </row>
    <row r="23" spans="1:2" x14ac:dyDescent="0.25">
      <c r="A23" s="19" t="s">
        <v>65</v>
      </c>
      <c r="B23" s="25">
        <f>B22/Assumptions!B31</f>
        <v>87.50976722235116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87.49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114.58265481870068</v>
      </c>
    </row>
    <row r="29" spans="1:2" x14ac:dyDescent="0.25">
      <c r="A29" s="19" t="s">
        <v>73</v>
      </c>
      <c r="B29" s="12">
        <f>B28/B26-1</f>
        <v>0.3096657311544255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0.051927</v>
      </c>
      <c r="B5" s="31">
        <v>165.28704952264454</v>
      </c>
      <c r="C5" s="31">
        <v>183.17506444921872</v>
      </c>
      <c r="D5" s="31">
        <v>207.62854207791653</v>
      </c>
      <c r="E5" s="31">
        <v>243.13883738351151</v>
      </c>
      <c r="F5" s="31">
        <v>299.50404011335723</v>
      </c>
    </row>
    <row r="6" spans="1:6" x14ac:dyDescent="0.25">
      <c r="A6" s="30">
        <v>0.061927</v>
      </c>
      <c r="B6" s="31">
        <v>127.32416799182357</v>
      </c>
      <c r="C6" s="31">
        <v>136.69104680688284</v>
      </c>
      <c r="D6" s="31">
        <v>148.540229926008</v>
      </c>
      <c r="E6" s="31">
        <v>164.03795797816488</v>
      </c>
      <c r="F6" s="31">
        <v>185.21669555263088</v>
      </c>
    </row>
    <row r="7" spans="1:6" x14ac:dyDescent="0.25">
      <c r="A7" s="30">
        <v>0.071927</v>
      </c>
      <c r="B7" s="31">
        <v>102.67540967944733</v>
      </c>
      <c r="C7" s="31">
        <v>108.07481380122239</v>
      </c>
      <c r="D7" s="32">
        <v>114.58385844091202</v>
      </c>
      <c r="E7" s="31">
        <v>122.59953379024768</v>
      </c>
      <c r="F7" s="31">
        <v>132.73384354962977</v>
      </c>
    </row>
    <row r="8" spans="1:6" x14ac:dyDescent="0.25">
      <c r="A8" s="30">
        <v>0.081927</v>
      </c>
      <c r="B8" s="31">
        <v>85.3738079689989</v>
      </c>
      <c r="C8" s="31">
        <v>88.67213448935901</v>
      </c>
      <c r="D8" s="31">
        <v>92.51747700802197</v>
      </c>
      <c r="E8" s="31">
        <v>97.06785043003806</v>
      </c>
      <c r="F8" s="31">
        <v>102.54861464524247</v>
      </c>
    </row>
    <row r="9" spans="1:6" x14ac:dyDescent="0.25">
      <c r="A9" s="30">
        <v>0.091927</v>
      </c>
      <c r="B9" s="31">
        <v>72.55499745363585</v>
      </c>
      <c r="C9" s="31">
        <v>74.64146809166019</v>
      </c>
      <c r="D9" s="31">
        <v>77.01326718236076</v>
      </c>
      <c r="E9" s="31">
        <v>79.73950717733617</v>
      </c>
      <c r="F9" s="31">
        <v>82.91358160802349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12189000000</v>
      </c>
      <c r="C5" s="18">
        <v>4221000000</v>
      </c>
      <c r="D5" s="18">
        <v>7775000000</v>
      </c>
      <c r="E5" s="18">
        <v>11443000000</v>
      </c>
      <c r="F5" s="8" t="s">
        <v>84</v>
      </c>
    </row>
    <row r="6" spans="1:6" x14ac:dyDescent="0.25">
      <c r="A6" t="s">
        <v>44</v>
      </c>
      <c r="B6" s="18">
        <v>2771000000</v>
      </c>
      <c r="C6" s="18">
        <v>-697000000</v>
      </c>
      <c r="D6" s="18">
        <v>2368000000</v>
      </c>
      <c r="E6" s="18">
        <v>3727000000</v>
      </c>
      <c r="F6" s="8" t="s">
        <v>85</v>
      </c>
    </row>
    <row r="7" spans="1:6" x14ac:dyDescent="0.25">
      <c r="A7" t="s">
        <v>86</v>
      </c>
      <c r="B7" s="18">
        <v>2980000000</v>
      </c>
      <c r="C7" s="18">
        <v>1729000000</v>
      </c>
      <c r="D7" s="18">
        <v>1527000000</v>
      </c>
      <c r="E7" s="18">
        <v>1753000000</v>
      </c>
      <c r="F7" s="8" t="s">
        <v>87</v>
      </c>
    </row>
    <row r="8" spans="1:6" x14ac:dyDescent="0.25">
      <c r="A8" t="s">
        <v>88</v>
      </c>
      <c r="B8" s="18">
        <v>2931000000</v>
      </c>
      <c r="C8" s="18">
        <v>1557000000</v>
      </c>
      <c r="D8" s="18">
        <v>1829000000</v>
      </c>
      <c r="E8" s="18">
        <v>1823000000</v>
      </c>
      <c r="F8" s="8" t="s">
        <v>89</v>
      </c>
    </row>
    <row r="9" spans="1:6" x14ac:dyDescent="0.25">
      <c r="A9" t="s">
        <v>90</v>
      </c>
      <c r="B9" s="18">
        <v>285000000</v>
      </c>
      <c r="C9" s="18">
        <v>315000000</v>
      </c>
      <c r="D9" s="18">
        <v>-275000000</v>
      </c>
      <c r="E9" s="18">
        <v>123000000</v>
      </c>
      <c r="F9" s="8" t="s">
        <v>91</v>
      </c>
    </row>
    <row r="10" spans="1:6" x14ac:dyDescent="0.25">
      <c r="A10" t="s">
        <v>92</v>
      </c>
      <c r="B10" s="18">
        <v>5060000000</v>
      </c>
      <c r="C10" s="18">
        <v>5751000000</v>
      </c>
      <c r="D10" s="18">
        <v>2112000000</v>
      </c>
      <c r="E10" s="18">
        <v>3179000000</v>
      </c>
      <c r="F10" s="8" t="s">
        <v>93</v>
      </c>
    </row>
    <row r="11" spans="1:6" x14ac:dyDescent="0.25">
      <c r="A11" t="s">
        <v>94</v>
      </c>
      <c r="B11" s="18">
        <v>616000000</v>
      </c>
      <c r="C11" s="18">
        <v>317000000</v>
      </c>
      <c r="D11" s="18">
        <v>1079000000</v>
      </c>
      <c r="E11" s="18">
        <v>130000000</v>
      </c>
      <c r="F11" s="8" t="s">
        <v>95</v>
      </c>
    </row>
    <row r="12" spans="1:6" x14ac:dyDescent="0.25">
      <c r="A12" t="s">
        <v>32</v>
      </c>
      <c r="B12" s="34">
        <v>240370000</v>
      </c>
      <c r="C12" s="34">
        <v>156989000</v>
      </c>
      <c r="D12" s="34">
        <v>142976000</v>
      </c>
      <c r="E12" s="34">
        <v>145961000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