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<sst xmlns="http://schemas.openxmlformats.org/spreadsheetml/2006/main" count="122" uniqueCount="109">
  <si>
    <t>Expeditors International of Washington, Inc. (EXPD)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</si>
  <si>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</si>
  <si>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</si>
  <si>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</si>
  <si>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</si>
  <si>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</si>
  <si>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</si>
  <si>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</si>
  <si>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</si>
  <si>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</si>
  <si>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</si>
  <si>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</si>
  <si>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</si>
  <si>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</si>
  <si>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</si>
  <si>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</si>
  <si>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</si>
  <si>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</si>
  <si>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</si>
  <si>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</si>
  <si>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</si>
  <si>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</si>
  <si>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</si>
  <si>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</si>
  <si>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Assumed: risk-free + 200bp (interest expense not reported)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</si>
  <si>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</si>
  <si>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</si>
  <si>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</si>
  <si>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</si>
  <si>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</si>
  <si>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</si>
  <si>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</si>
  <si>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</si>
  <si>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</si>
  <si>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</si>
  <si>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</si>
  <si>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</si>
  <si>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</si>
  <si>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</si>
  <si>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</si>
  <si>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</si>
  <si>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</si>
  <si>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</si>
  <si>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</si>
  <si>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</si>
  <si>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</si>
  <si>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</si>
  <si>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</si>
  <si>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</si>
  <si>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</si>
  <si>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</si>
  <si>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</si>
  <si>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</si>
  <si>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</si>
  <si>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</si>
  <si>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</si>
  <si>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</si>
  <si>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</si>
  <si>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</si>
  <si>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</si>
  <si>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</si>
  <si>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</si>
  <si>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</si>
  <si>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</si>
  <si>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</si>
  <si>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</si>
  <si>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</si>
  <si>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</si>
  <si>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</si>
  <si>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</si>
  <si>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</si>
  <si>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</si>
  <si>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</si>
  <si>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</si>
  <si>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</si>
  <si>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</si>
  <si>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</si>
  <si>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</si>
  <si>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</si>
  <si>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</si>
  <si>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</si>
  <si>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</si>
  <si>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</si>
  <si>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</si>
  <si>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</si>
  <si>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</si>
  <si>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</si>
  <si>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</si>
  <si>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</si>
  <si>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</si>
  <si>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</si>
  <si>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</si>
  <si>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</si>
  <si>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</si>
  <si>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</si>
  <si>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</si>
  <si>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</si>
  <si>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</si>
  <si>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</si>
  <si>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</si>
  <si>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</si>
  <si>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</si>
  <si>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</si>
  <si>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</si>
  <si>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</si>
  <si>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just 0.45% of revenue, which is too low to be the company's real investment - property trusts and similar structures invest through lines that are not reported as capex. Capex has been set to 1.00%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</si>
  <si>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Adjusted: Capital expenditure runs at 1.0% of revenue against depreciation of 0.5%. A perpetuity has to be a steady state, so the forecast tapers capex to maintenance at depreciation plus the reinvestment terminal growth requires (g/ROIC of NOPAT), and the terminal year carries on from there. The bridge is shown under Terminal Value.</t>
  </si>
  <si>
    <t>Current EV/EBITDA of 22.6x sits outside a defensible 3-20x band, so the exit multiple is capped at 20.0x. A multiple that far out usually means EBITDA is the wrong denominator for this business.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</si>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</sst>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0.1965430265708521</v>
      </c>
    </row>
    <row r="7" spans="1:2" x14ac:dyDescent="0.25">
      <c r="A7" t="s">
        <v>4</v>
      </c>
      <c r="B7" s="5">
        <v>0.10031434821052879</v>
      </c>
    </row>
    <row r="8" spans="1:2" x14ac:dyDescent="0.25">
      <c r="A8" t="s">
        <v>5</v>
      </c>
      <c r="B8" s="5">
        <v>0.21</v>
      </c>
    </row>
    <row r="9" spans="1:2" x14ac:dyDescent="0.25">
      <c r="A9" t="s">
        <v>6</v>
      </c>
      <c r="B9" s="5">
        <v>0.005384061507196283</v>
      </c>
    </row>
    <row r="10" spans="1:3" x14ac:dyDescent="0.25">
      <c r="A10" t="s">
        <v>7</v>
      </c>
      <c r="B10" s="5">
        <v>0.01</v>
      </c>
      <c r="C10" s="6" t="s">
        <v>8</v>
      </c>
    </row>
    <row r="11" spans="1:2" x14ac:dyDescent="0.25">
      <c r="A11" t="s">
        <v>9</v>
      </c>
      <c r="B11" s="5">
        <v>0.07669927020414705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20</v>
      </c>
    </row>
    <row r="14" spans="1:3" x14ac:dyDescent="0.25">
      <c r="A14" t="s">
        <v>12</v>
      </c>
      <c r="B14" s="5">
        <v>0.36152364972020057</v>
      </c>
      <c r="C14" s="6" t="s">
        <v>13</v>
      </c>
    </row>
    <row r="15" spans="1:3" x14ac:dyDescent="0.25">
      <c r="A15" t="s">
        <v>14</v>
      </c>
      <c r="B15" s="5">
        <v>0.005384061507196283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1.04288</v>
      </c>
      <c r="C19" s="6" t="s">
        <v>21</v>
      </c>
    </row>
    <row r="20" spans="1:2" x14ac:dyDescent="0.25">
      <c r="A20" t="s">
        <v>22</v>
      </c>
      <c r="B20" s="9">
        <f>B17+B19*B18</f>
        <v>0.09305382400000001</v>
      </c>
    </row>
    <row r="21" spans="1:3" x14ac:dyDescent="0.25">
      <c r="A21" t="s">
        <v>23</v>
      </c>
      <c r="B21" s="5">
        <v>0.06894</v>
      </c>
      <c r="C21" s="6" t="s">
        <v>24</v>
      </c>
    </row>
    <row r="22" spans="1:2" x14ac:dyDescent="0.25">
      <c r="A22" t="s">
        <v>25</v>
      </c>
      <c r="B22" s="10">
        <v>25848635392</v>
      </c>
    </row>
    <row r="23" spans="1:2" x14ac:dyDescent="0.25">
      <c r="A23" t="s">
        <v>26</v>
      </c>
      <c r="B23" s="10">
        <v>570589000</v>
      </c>
    </row>
    <row r="24" spans="1:2" x14ac:dyDescent="0.25">
      <c r="A24" t="s">
        <v>27</v>
      </c>
      <c r="B24" s="9">
        <f>B22/(B22+B23)</f>
        <v>0.9784025075250589</v>
      </c>
    </row>
    <row r="25" spans="1:2" x14ac:dyDescent="0.25">
      <c r="A25" t="s">
        <v>28</v>
      </c>
      <c r="B25" s="9">
        <f>1-B24</f>
        <v>0.021597492474941138</v>
      </c>
    </row>
    <row r="26" spans="1:2" x14ac:dyDescent="0.25">
      <c r="A26" t="s">
        <v>29</v>
      </c>
      <c r="B26" s="11">
        <f>B24*B20+B25*B21*(1-B8)</f>
        <v>0.09222035033006123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11069009000</v>
      </c>
      <c r="C29" s="6" t="s">
        <v>32</v>
      </c>
    </row>
    <row r="30" spans="1:2" x14ac:dyDescent="0.25">
      <c r="A30" t="s">
        <v>33</v>
      </c>
      <c r="B30" s="10">
        <v>-743696000</v>
      </c>
    </row>
    <row r="31" spans="1:2" x14ac:dyDescent="0.25">
      <c r="A31" t="s">
        <v>34</v>
      </c>
      <c r="B31" s="12">
        <v>136249000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0.1965430265708521</v>
      </c>
      <c r="C5" s="5">
        <v>0.00336963996982087</v>
      </c>
      <c r="D5" s="5">
        <v>0.0060734349735932615</v>
      </c>
      <c r="E5" s="5">
        <v>0.008777229977365653</v>
      </c>
      <c r="F5" s="5">
        <v>0.011481024981138045</v>
      </c>
      <c r="G5" s="5">
        <v>0.014184819984910436</v>
      </c>
      <c r="H5" s="5">
        <v>0.016888614988682826</v>
      </c>
      <c r="I5" s="5">
        <v>0.01959240999245522</v>
      </c>
      <c r="J5" s="5">
        <v>0.02229620499622761</v>
      </c>
      <c r="K5" s="5">
        <v>0.025</v>
      </c>
    </row>
    <row r="6" spans="1:11" x14ac:dyDescent="0.25">
      <c r="A6" t="s">
        <v>50</v>
      </c>
      <c r="B6" s="18">
        <f>Assumptions!B29*(1+B5)</f>
        <v>13244545530.000002</v>
      </c>
      <c r="C6" s="18">
        <f>B6*(1+C5)</f>
        <v>13289174880.000002</v>
      </c>
      <c r="D6" s="18">
        <f>C6*(1+D5)</f>
        <v>13369885819.486393</v>
      </c>
      <c r="E6" s="18">
        <f>D6*(1+E5)</f>
        <v>13487236382.095144</v>
      </c>
      <c r="F6" s="18">
        <f>E6*(1+F5)</f>
        <v>13642083679.924494</v>
      </c>
      <c r="G6" s="18">
        <f>F6*(1+G5)</f>
        <v>13835594181.143307</v>
      </c>
      <c r="H6" s="18">
        <f>G6*(1+H5)</f>
        <v>14069258204.408297</v>
      </c>
      <c r="I6" s="18">
        <f>H6*(1+I5)</f>
        <v>14344908879.438778</v>
      </c>
      <c r="J6" s="18">
        <f>I6*(1+J5)</f>
        <v>14664745908.466951</v>
      </c>
      <c r="K6" s="18">
        <f>J6*(1+K5)</f>
        <v>15031364556.178623</v>
      </c>
    </row>
    <row r="7" spans="1:11" x14ac:dyDescent="0.25">
      <c r="A7" t="s">
        <v>4</v>
      </c>
      <c r="B7" s="9">
        <f>Assumptions!B7</f>
        <v>0.10031434821052879</v>
      </c>
      <c r="C7" s="9">
        <f>Assumptions!B7</f>
        <v>0.10031434821052879</v>
      </c>
      <c r="D7" s="9">
        <f>Assumptions!B7</f>
        <v>0.10031434821052879</v>
      </c>
      <c r="E7" s="9">
        <f>Assumptions!B7</f>
        <v>0.10031434821052879</v>
      </c>
      <c r="F7" s="9">
        <f>Assumptions!B7</f>
        <v>0.10031434821052879</v>
      </c>
      <c r="G7" s="9">
        <f>Assumptions!B7</f>
        <v>0.10031434821052879</v>
      </c>
      <c r="H7" s="9">
        <f>Assumptions!B7</f>
        <v>0.10031434821052879</v>
      </c>
      <c r="I7" s="9">
        <f>Assumptions!B7</f>
        <v>0.10031434821052879</v>
      </c>
      <c r="J7" s="9">
        <f>Assumptions!B7</f>
        <v>0.10031434821052879</v>
      </c>
      <c r="K7" s="9">
        <f>Assumptions!B7</f>
        <v>0.10031434821052879</v>
      </c>
    </row>
    <row r="8" spans="1:11" x14ac:dyDescent="0.25">
      <c r="A8" t="s">
        <v>51</v>
      </c>
      <c r="B8" s="18">
        <f>B6*B7</f>
        <v>1328617952.1866226</v>
      </c>
      <c r="C8" s="18">
        <f>C6*C7</f>
        <v>1333094916.3429322</v>
      </c>
      <c r="D8" s="18">
        <f>D6*D7</f>
        <v>1341191381.630969</v>
      </c>
      <c r="E8" s="18">
        <f>E6*E7</f>
        <v>1352963326.831205</v>
      </c>
      <c r="F8" s="18">
        <f>F6*F7</f>
        <v>1368496732.5851176</v>
      </c>
      <c r="G8" s="18">
        <f>G6*G7</f>
        <v>1387908612.3867755</v>
      </c>
      <c r="H8" s="18">
        <f>H6*H7</f>
        <v>1411348466.5808527</v>
      </c>
      <c r="I8" s="18">
        <f>I6*I7</f>
        <v>1439000184.380328</v>
      </c>
      <c r="J8" s="18">
        <f>J6*J7</f>
        <v>1471084427.480881</v>
      </c>
      <c r="K8" s="18">
        <f>K6*K7</f>
        <v>1507861538.167903</v>
      </c>
    </row>
    <row r="9" spans="1:11" x14ac:dyDescent="0.25">
      <c r="A9" t="s">
        <v>52</v>
      </c>
      <c r="B9" s="18">
        <f>B8*(1-Assumptions!B8)</f>
        <v>1049608182.2274319</v>
      </c>
      <c r="C9" s="18">
        <f>C8*(1-Assumptions!B8)</f>
        <v>1053144983.9109164</v>
      </c>
      <c r="D9" s="18">
        <f>D8*(1-Assumptions!B8)</f>
        <v>1059541191.4884655</v>
      </c>
      <c r="E9" s="18">
        <f>E8*(1-Assumptions!B8)</f>
        <v>1068841028.1966519</v>
      </c>
      <c r="F9" s="18">
        <f>F8*(1-Assumptions!B8)</f>
        <v>1081112418.742243</v>
      </c>
      <c r="G9" s="18">
        <f>G8*(1-Assumptions!B8)</f>
        <v>1096447803.7855527</v>
      </c>
      <c r="H9" s="18">
        <f>H8*(1-Assumptions!B8)</f>
        <v>1114965288.5988736</v>
      </c>
      <c r="I9" s="18">
        <f>I8*(1-Assumptions!B8)</f>
        <v>1136810145.660459</v>
      </c>
      <c r="J9" s="18">
        <f>J8*(1-Assumptions!B8)</f>
        <v>1162156697.709896</v>
      </c>
      <c r="K9" s="18">
        <f>K8*(1-Assumptions!B8)</f>
        <v>1191210615.1526434</v>
      </c>
    </row>
    <row r="10" spans="1:11" x14ac:dyDescent="0.25">
      <c r="A10" t="s">
        <v>53</v>
      </c>
      <c r="B10" s="18">
        <f>B6*Assumptions!B9</f>
        <v>71309447.76838161</v>
      </c>
      <c r="C10" s="18">
        <f>C6*Assumptions!B9</f>
        <v>71549734.93380779</v>
      </c>
      <c r="D10" s="18">
        <f>D6*Assumptions!B9</f>
        <v>71984287.59630612</v>
      </c>
      <c r="E10" s="18">
        <f>E6*Assumptions!B9</f>
        <v>72616110.24329573</v>
      </c>
      <c r="F10" s="18">
        <f>F6*Assumptions!B9</f>
        <v>73449817.61903208</v>
      </c>
      <c r="G10" s="18">
        <f>G6*Assumptions!B9</f>
        <v>74491690.05988255</v>
      </c>
      <c r="H10" s="18">
        <f>H6*Assumptions!B9</f>
        <v>75749751.53316021</v>
      </c>
      <c r="I10" s="18">
        <f>I6*Assumptions!B9</f>
        <v>77233871.72202449</v>
      </c>
      <c r="J10" s="18">
        <f>J6*Assumptions!B9</f>
        <v>78955893.9585911</v>
      </c>
      <c r="K10" s="18">
        <f>K6*Assumptions!B9</f>
        <v>80929791.30755587</v>
      </c>
    </row>
    <row r="11" spans="1:11" x14ac:dyDescent="0.25">
      <c r="A11" t="s">
        <v>54</v>
      </c>
      <c r="B11" s="18">
        <f>-B6*B19</f>
        <v>-132445455.30000003</v>
      </c>
      <c r="C11" s="18">
        <f>-C6*C19</f>
        <v>-134167840.47074884</v>
      </c>
      <c r="D11" s="18">
        <f>-D6*D19</f>
        <v>-136266542.05592683</v>
      </c>
      <c r="E11" s="18">
        <f>-E6*E19</f>
        <v>-138757695.3401824</v>
      </c>
      <c r="F11" s="18">
        <f>-F6*F19</f>
        <v>-141660755.60919592</v>
      </c>
      <c r="G11" s="18">
        <f>-G6*G19</f>
        <v>-144998749.45519015</v>
      </c>
      <c r="H11" s="18">
        <f>-H6*H19</f>
        <v>-148798576.60147864</v>
      </c>
      <c r="I11" s="18">
        <f>-I6*I19</f>
        <v>-153091367.74157536</v>
      </c>
      <c r="J11" s="18">
        <f>-J6*J19</f>
        <v>-157912904.99921224</v>
      </c>
      <c r="K11" s="18">
        <f>-K6*K19</f>
        <v>-163304112.8819933</v>
      </c>
    </row>
    <row r="12" spans="1:11" x14ac:dyDescent="0.25">
      <c r="A12" t="s">
        <v>55</v>
      </c>
      <c r="B12" s="18">
        <f>-(B6-Assumptions!B29)*Assumptions!B11</f>
        <v>-166862064.1534626</v>
      </c>
      <c r="C12" s="18">
        <f>-(C6-B6)*Assumptions!B11</f>
        <v>-3423038.57468545</v>
      </c>
      <c r="D12" s="18">
        <f>-(D6-C6)*Assumptions!B11</f>
        <v>-6190470.15609727</v>
      </c>
      <c r="E12" s="18">
        <f>-(E6-D6)*Assumptions!B11</f>
        <v>-9000702.510137292</v>
      </c>
      <c r="F12" s="18">
        <f>-(F6-E6)*Assumptions!B11</f>
        <v>-11876674.73659531</v>
      </c>
      <c r="G12" s="18">
        <f>-(G6-F6)*Assumptions!B11</f>
        <v>-14842114.22032166</v>
      </c>
      <c r="H12" s="18">
        <f>-(H6-G6)*Assumptions!B11</f>
        <v>-17921860.057389557</v>
      </c>
      <c r="I12" s="18">
        <f>-(I6-H6)*Assumptions!B11</f>
        <v>-21142205.60611842</v>
      </c>
      <c r="J12" s="18">
        <f>-(J6-I6)*Assumptions!B11</f>
        <v>-24531266.710723497</v>
      </c>
      <c r="K12" s="18">
        <f>-(K6-J6)*Assumptions!B11</f>
        <v>-28119382.722716514</v>
      </c>
    </row>
    <row r="13" spans="1:11" x14ac:dyDescent="0.25">
      <c r="A13" s="19" t="s">
        <v>56</v>
      </c>
      <c r="B13" s="20">
        <f>B9+B10+B11+B12</f>
        <v>821610110.542351</v>
      </c>
      <c r="C13" s="20">
        <f>C9+C10+C11+C12</f>
        <v>987103839.7992898</v>
      </c>
      <c r="D13" s="20">
        <f>D9+D10+D11+D12</f>
        <v>989068466.8727475</v>
      </c>
      <c r="E13" s="20">
        <f>E9+E10+E11+E12</f>
        <v>993698740.5896279</v>
      </c>
      <c r="F13" s="20">
        <f>F9+F10+F11+F12</f>
        <v>1001024806.015484</v>
      </c>
      <c r="G13" s="20">
        <f>G9+G10+G11+G12</f>
        <v>1011098630.1699235</v>
      </c>
      <c r="H13" s="20">
        <f>H9+H10+H11+H12</f>
        <v>1023994603.4731658</v>
      </c>
      <c r="I13" s="20">
        <f>I9+I10+I11+I12</f>
        <v>1039810444.0347897</v>
      </c>
      <c r="J13" s="20">
        <f>J9+J10+J11+J12</f>
        <v>1058668419.9585513</v>
      </c>
      <c r="K13" s="20">
        <f>K9+K10+K11+K12</f>
        <v>1080716910.8554895</v>
      </c>
    </row>
    <row r="14" spans="1:11" x14ac:dyDescent="0.25">
      <c r="A14" t="s">
        <v>57</v>
      </c>
      <c r="B14" s="21">
        <f>1/(1+Assumptions!$B$26)^(1-0.5*Assumptions!$B$32)</f>
        <v>0.9568522181095354</v>
      </c>
      <c r="C14" s="21">
        <f>1/(1+Assumptions!$B$26)^(2-0.5*Assumptions!$B$32)</f>
        <v>0.8760615180081395</v>
      </c>
      <c r="D14" s="21">
        <f>1/(1+Assumptions!$B$26)^(3-0.5*Assumptions!$B$32)</f>
        <v>0.802092286362729</v>
      </c>
      <c r="E14" s="21">
        <f>1/(1+Assumptions!$B$26)^(4-0.5*Assumptions!$B$32)</f>
        <v>0.7343685604469302</v>
      </c>
      <c r="F14" s="21">
        <f>1/(1+Assumptions!$B$26)^(5-0.5*Assumptions!$B$32)</f>
        <v>0.6723630082748498</v>
      </c>
      <c r="G14" s="21">
        <f>1/(1+Assumptions!$B$26)^(6-0.5*Assumptions!$B$32)</f>
        <v>0.6155928225212675</v>
      </c>
      <c r="H14" s="21">
        <f>1/(1+Assumptions!$B$26)^(7-0.5*Assumptions!$B$32)</f>
        <v>0.5636159611338862</v>
      </c>
      <c r="I14" s="21">
        <f>1/(1+Assumptions!$B$26)^(8-0.5*Assumptions!$B$32)</f>
        <v>0.5160277053650992</v>
      </c>
      <c r="J14" s="21">
        <f>1/(1+Assumptions!$B$26)^(9-0.5*Assumptions!$B$32)</f>
        <v>0.4724575084223247</v>
      </c>
      <c r="K14" s="21">
        <f>1/(1+Assumptions!$B$26)^(10-0.5*Assumptions!$B$32)</f>
        <v>0.43256611019887276</v>
      </c>
    </row>
    <row r="15" spans="1:11" x14ac:dyDescent="0.25">
      <c r="A15" s="19" t="s">
        <v>58</v>
      </c>
      <c r="B15" s="20">
        <f>B13*B14</f>
        <v>786159456.6936691</v>
      </c>
      <c r="C15" s="20">
        <f>C13*C14</f>
        <v>864763688.3262292</v>
      </c>
      <c r="D15" s="20">
        <f>D13*D14</f>
        <v>793324187.9632412</v>
      </c>
      <c r="E15" s="20">
        <f>E13*E14</f>
        <v>729741113.6447326</v>
      </c>
      <c r="F15" s="20">
        <f>F13*F14</f>
        <v>673052049.9303188</v>
      </c>
      <c r="G15" s="20">
        <f>G13*G14</f>
        <v>622425059.5936904</v>
      </c>
      <c r="H15" s="20">
        <f>H13*H14</f>
        <v>577139702.632441</v>
      </c>
      <c r="I15" s="20">
        <f>I13*I14</f>
        <v>536570997.44993746</v>
      </c>
      <c r="J15" s="20">
        <f>J13*J14</f>
        <v>500175843.9390164</v>
      </c>
      <c r="K15" s="20">
        <f>K13*K14</f>
        <v>467481510.354901</v>
      </c>
    </row>
    <row r="17" spans="1:2" x14ac:dyDescent="0.25">
      <c r="A17" s="22" t="s">
        <v>59</v>
      </c>
      <c r="B17" s="23">
        <f>SUM(B15:K15)</f>
        <v>6550833610.528178</v>
      </c>
    </row>
    <row r="19" spans="1:11" x14ac:dyDescent="0.25">
      <c r="A19" t="s">
        <v>7</v>
      </c>
      <c r="B19" s="9">
        <f>Assumptions!$B$10+($B$20-Assumptions!$B$10)*0/9</f>
        <v>0.01</v>
      </c>
      <c r="C19" s="9">
        <f>Assumptions!$B$10+($B$20-Assumptions!$B$10)*1/9</f>
        <v>0.010096024898631541</v>
      </c>
      <c r="D19" s="9">
        <f>Assumptions!$B$10+($B$20-Assumptions!$B$10)*2/9</f>
        <v>0.010192049797263082</v>
      </c>
      <c r="E19" s="9">
        <f>Assumptions!$B$10+($B$20-Assumptions!$B$10)*3/9</f>
        <v>0.010288074695894623</v>
      </c>
      <c r="F19" s="9">
        <f>Assumptions!$B$10+($B$20-Assumptions!$B$10)*4/9</f>
        <v>0.010384099594526163</v>
      </c>
      <c r="G19" s="9">
        <f>Assumptions!$B$10+($B$20-Assumptions!$B$10)*5/9</f>
        <v>0.010480124493157703</v>
      </c>
      <c r="H19" s="9">
        <f>Assumptions!$B$10+($B$20-Assumptions!$B$10)*6/9</f>
        <v>0.010576149391789243</v>
      </c>
      <c r="I19" s="9">
        <f>Assumptions!$B$10+($B$20-Assumptions!$B$10)*7/9</f>
        <v>0.010672174290420784</v>
      </c>
      <c r="J19" s="9">
        <f>Assumptions!$B$10+($B$20-Assumptions!$B$10)*8/9</f>
        <v>0.010768199189052325</v>
      </c>
      <c r="K19" s="9">
        <f>Assumptions!$B$10+($B$20-Assumptions!$B$10)*9/9</f>
        <v>0.010864224087683866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0.010864224087683866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1080716910.8554895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1191210615.1526434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0.0691517692392977</v>
      </c>
    </row>
    <row r="7" spans="1:2" x14ac:dyDescent="0.25">
      <c r="A7" t="s">
        <v>66</v>
      </c>
      <c r="B7" s="18">
        <f>-MAX(B5,0)*B6</f>
        <v>-82374321.57443745</v>
      </c>
    </row>
    <row r="8" spans="1:2" x14ac:dyDescent="0.25">
      <c r="A8" t="s">
        <v>67</v>
      </c>
      <c r="B8" s="18">
        <f>IF(OR(Assumptions!$B$33=0,Assumptions!B12&lt;=0),B5,MAX(B5+B7,0))</f>
        <v>1108836293.578206</v>
      </c>
    </row>
    <row r="9" spans="1:2" x14ac:dyDescent="0.25">
      <c r="A9" t="s">
        <v>68</v>
      </c>
      <c r="B9" s="18">
        <f>B8*(1+Assumptions!B12)/(Assumptions!B26-Assumptions!B12)</f>
        <v>16907933316.87514</v>
      </c>
    </row>
    <row r="10" spans="1:2" x14ac:dyDescent="0.25">
      <c r="A10" t="s">
        <v>69</v>
      </c>
      <c r="B10" s="18">
        <f>B9/(1+Assumptions!B26)^(10-0.5*Assumptions!B32)</f>
        <v>7313798946.382604</v>
      </c>
    </row>
    <row r="11" spans="1:2" x14ac:dyDescent="0.25">
      <c r="A11" t="s">
        <v>70</v>
      </c>
      <c r="B11" s="18">
        <f>Forecast!B17+B10</f>
        <v>13864632556.910782</v>
      </c>
    </row>
    <row r="12" spans="1:2" x14ac:dyDescent="0.25">
      <c r="A12" t="s">
        <v>71</v>
      </c>
      <c r="B12" s="18">
        <f>-Assumptions!B30</f>
        <v>743696000</v>
      </c>
    </row>
    <row r="13" spans="1:2" x14ac:dyDescent="0.25">
      <c r="A13" t="s">
        <v>72</v>
      </c>
      <c r="B13" s="18">
        <f>B11+B12</f>
        <v>14608328556.910782</v>
      </c>
    </row>
    <row r="14" spans="1:2" x14ac:dyDescent="0.25">
      <c r="A14" s="19" t="s">
        <v>73</v>
      </c>
      <c r="B14" s="24">
        <f>B13/Assumptions!B31</f>
        <v>107.21787724615066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1588791329.4754589</v>
      </c>
    </row>
    <row r="18" spans="1:2" x14ac:dyDescent="0.25">
      <c r="A18" t="s">
        <v>68</v>
      </c>
      <c r="B18" s="18">
        <f>B17*Assumptions!B13</f>
        <v>31775826589.50918</v>
      </c>
    </row>
    <row r="19" spans="1:2" x14ac:dyDescent="0.25">
      <c r="A19" t="s">
        <v>69</v>
      </c>
      <c r="B19" s="18">
        <f>B18/(1+Assumptions!B26)^(10-0.5*Assumptions!B32)</f>
        <v>13745145706.177898</v>
      </c>
    </row>
    <row r="20" spans="1:2" x14ac:dyDescent="0.25">
      <c r="A20" t="s">
        <v>70</v>
      </c>
      <c r="B20" s="18">
        <f>Forecast!B17+B19</f>
        <v>20295979316.706078</v>
      </c>
    </row>
    <row r="21" spans="1:2" x14ac:dyDescent="0.25">
      <c r="A21" t="s">
        <v>71</v>
      </c>
      <c r="B21" s="18">
        <f>-Assumptions!B30</f>
        <v>743696000</v>
      </c>
    </row>
    <row r="22" spans="1:2" x14ac:dyDescent="0.25">
      <c r="A22" t="s">
        <v>72</v>
      </c>
      <c r="B22" s="18">
        <f>B20+B21</f>
        <v>21039675316.706078</v>
      </c>
    </row>
    <row r="23" spans="1:2" x14ac:dyDescent="0.25">
      <c r="A23" s="19" t="s">
        <v>73</v>
      </c>
      <c r="B23" s="25">
        <f>B22/Assumptions!B31</f>
        <v>154.42076871541133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198.85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107.21787724615066</v>
      </c>
    </row>
    <row r="29" spans="1:2" x14ac:dyDescent="0.25">
      <c r="A29" s="19" t="s">
        <v>81</v>
      </c>
      <c r="B29" s="11">
        <f>B28/B26-1</f>
        <v>-0.4608102728380655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0.07222</v>
      </c>
      <c r="B5" s="31">
        <v>135.0894852594466</v>
      </c>
      <c r="C5" s="31">
        <v>141.26556882587073</v>
      </c>
      <c r="D5" s="31">
        <v>148.81227707811342</v>
      </c>
      <c r="E5" s="31">
        <v>158.21656809971986</v>
      </c>
      <c r="F5" s="31">
        <v>170.2270647155278</v>
      </c>
    </row>
    <row r="6" spans="1:6" x14ac:dyDescent="0.25">
      <c r="A6" s="30">
        <v>0.08222</v>
      </c>
      <c r="B6" s="31">
        <v>115.97198894644754</v>
      </c>
      <c r="C6" s="31">
        <v>119.81712611663761</v>
      </c>
      <c r="D6" s="31">
        <v>124.38321560443137</v>
      </c>
      <c r="E6" s="31">
        <v>129.87734827087937</v>
      </c>
      <c r="F6" s="31">
        <v>136.5943281752745</v>
      </c>
    </row>
    <row r="7" spans="1:6" x14ac:dyDescent="0.25">
      <c r="A7" s="30">
        <v>0.09222</v>
      </c>
      <c r="B7" s="31">
        <v>101.82130074985206</v>
      </c>
      <c r="C7" s="31">
        <v>104.31464423619845</v>
      </c>
      <c r="D7" s="32">
        <v>107.21838919668544</v>
      </c>
      <c r="E7" s="31">
        <v>110.63147523452923</v>
      </c>
      <c r="F7" s="31">
        <v>114.68742412813512</v>
      </c>
    </row>
    <row r="8" spans="1:6" x14ac:dyDescent="0.25">
      <c r="A8" s="30">
        <v>0.10222</v>
      </c>
      <c r="B8" s="31">
        <v>90.92763002093893</v>
      </c>
      <c r="C8" s="31">
        <v>92.58775483172603</v>
      </c>
      <c r="D8" s="31">
        <v>94.49544698797756</v>
      </c>
      <c r="E8" s="31">
        <v>96.70212590511821</v>
      </c>
      <c r="F8" s="31">
        <v>99.27450984279292</v>
      </c>
    </row>
    <row r="9" spans="1:6" x14ac:dyDescent="0.25">
      <c r="A9" s="30">
        <v>0.11222</v>
      </c>
      <c r="B9" s="31">
        <v>82.2847933074842</v>
      </c>
      <c r="C9" s="31">
        <v>83.40756746060622</v>
      </c>
      <c r="D9" s="31">
        <v>84.68644035096263</v>
      </c>
      <c r="E9" s="31">
        <v>86.14989022056899</v>
      </c>
      <c r="F9" s="31">
        <v>87.83377118349864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11069009000</v>
      </c>
      <c r="C5" s="18">
        <v>10600515000</v>
      </c>
      <c r="D5" s="18">
        <v>9300110000</v>
      </c>
      <c r="E5" s="18">
        <v>17071284000</v>
      </c>
      <c r="F5" s="6" t="s">
        <v>91</v>
      </c>
    </row>
    <row r="6" spans="1:6" x14ac:dyDescent="0.25">
      <c r="A6" t="s">
        <v>51</v>
      </c>
      <c r="B6" s="18">
        <v>1052546000</v>
      </c>
      <c r="C6" s="18">
        <v>1041323000</v>
      </c>
      <c r="D6" s="18">
        <v>939933000</v>
      </c>
      <c r="E6" s="18">
        <v>1824371000</v>
      </c>
      <c r="F6" s="6" t="s">
        <v>92</v>
      </c>
    </row>
    <row r="7" spans="1:6" x14ac:dyDescent="0.25">
      <c r="A7" t="s">
        <v>93</v>
      </c>
      <c r="B7" s="18">
        <v>56769000</v>
      </c>
      <c r="C7" s="18">
        <v>61090000</v>
      </c>
      <c r="D7" s="18">
        <v>67760000</v>
      </c>
      <c r="E7" s="18">
        <v>57338000</v>
      </c>
      <c r="F7" s="6" t="s">
        <v>94</v>
      </c>
    </row>
    <row r="8" spans="1:6" x14ac:dyDescent="0.25">
      <c r="A8" t="s">
        <v>95</v>
      </c>
      <c r="B8" s="18">
        <v>53101000</v>
      </c>
      <c r="C8" s="18">
        <v>40466000</v>
      </c>
      <c r="D8" s="18">
        <v>39314000</v>
      </c>
      <c r="E8" s="18">
        <v>86824000</v>
      </c>
      <c r="F8" s="6" t="s">
        <v>96</v>
      </c>
    </row>
    <row r="9" spans="1:6" x14ac:dyDescent="0.25">
      <c r="A9" t="s">
        <v>97</v>
      </c>
      <c r="B9" s="18">
        <v>-63414000</v>
      </c>
      <c r="C9" s="18">
        <v>208676000</v>
      </c>
      <c r="D9" s="18">
        <v>-185765000</v>
      </c>
      <c r="E9" s="18">
        <v>-668273000</v>
      </c>
      <c r="F9" s="6" t="s">
        <v>98</v>
      </c>
    </row>
    <row r="10" spans="1:6" x14ac:dyDescent="0.25">
      <c r="A10" t="s">
        <v>99</v>
      </c>
      <c r="B10" s="18">
        <v>570589000</v>
      </c>
      <c r="C10" s="18">
        <v>568937000</v>
      </c>
      <c r="D10" s="18">
        <v>527733000</v>
      </c>
      <c r="E10" s="18">
        <v>518465000</v>
      </c>
      <c r="F10" s="6" t="s">
        <v>100</v>
      </c>
    </row>
    <row r="11" spans="1:6" x14ac:dyDescent="0.25">
      <c r="A11" t="s">
        <v>101</v>
      </c>
      <c r="B11" s="18">
        <v>1314285000</v>
      </c>
      <c r="C11" s="18">
        <v>1148320000</v>
      </c>
      <c r="D11" s="18">
        <v>1512883000</v>
      </c>
      <c r="E11" s="18">
        <v>2034131000</v>
      </c>
      <c r="F11" s="6" t="s">
        <v>102</v>
      </c>
    </row>
    <row r="12" spans="1:6" x14ac:dyDescent="0.25">
      <c r="A12" t="s">
        <v>34</v>
      </c>
      <c r="B12" s="34">
        <v>136249000</v>
      </c>
      <c r="C12" s="34">
        <v>141722000</v>
      </c>
      <c r="D12" s="34">
        <v>150186000</v>
      </c>
      <c r="E12" s="34">
        <v>164427000</v>
      </c>
      <c r="F12" s="6" t="s">
        <v>103</v>
      </c>
    </row>
    <row r="15" spans="1:1" x14ac:dyDescent="0.25">
      <c r="A15" s="19" t="s">
        <v>104</v>
      </c>
    </row>
    <row r="16" ht="86" customHeight="1" spans="1:6" x14ac:dyDescent="0.25">
      <c r="A16" s="35" t="s">
        <v>105</v>
      </c>
      <c r="B16" s="35"/>
      <c r="C16" s="35"/>
      <c r="D16" s="35"/>
      <c r="E16" s="35"/>
      <c r="F16" s="35"/>
    </row>
    <row r="17" ht="54" customHeight="1" spans="1:6" x14ac:dyDescent="0.25">
      <c r="A17" s="35" t="s">
        <v>106</v>
      </c>
      <c r="B17" s="35"/>
      <c r="C17" s="35"/>
      <c r="D17" s="35"/>
      <c r="E17" s="35"/>
      <c r="F17" s="35"/>
    </row>
    <row r="18" ht="38" customHeight="1" spans="1:6" x14ac:dyDescent="0.25">
      <c r="A18" s="35" t="s">
        <v>107</v>
      </c>
      <c r="B18" s="35"/>
      <c r="C18" s="35"/>
      <c r="D18" s="35"/>
      <c r="E18" s="35"/>
      <c r="F18" s="35"/>
    </row>
    <row r="20" spans="1:1" x14ac:dyDescent="0.25">
      <c r="A20" s="36" t="s">
        <v>108</v>
      </c>
    </row>
  </sheetData>
  <mergeCells count="3">
    <mergeCell ref="A16:F16"/>
    <mergeCell ref="A17:F17"/>
    <mergeCell ref="A18:F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