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<sst xmlns="http://schemas.openxmlformats.org/spreadsheetml/2006/main" count="114" uniqueCount="102">
  <si>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Expeditors International of Washington, Inc. (EXPD)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</si>
  <si>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</si>
  <si>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</si>
  <si>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</si>
  <si>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</si>
  <si>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</si>
  <si>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</si>
  <si>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</si>
  <si>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</si>
  <si>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</si>
  <si>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</si>
  <si>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</si>
  <si>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</si>
  <si>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</si>
  <si>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</si>
  <si>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</si>
  <si>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</si>
  <si>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</si>
  <si>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</si>
  <si>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</si>
  <si>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</si>
  <si>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</si>
  <si>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</si>
  <si>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</si>
  <si>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</si>
  <si>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</si>
  <si>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</si>
  <si>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</si>
  <si>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</si>
  <si>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</si>
  <si>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</si>
  <si>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</si>
  <si>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</si>
  <si>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</si>
  <si>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</si>
  <si>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</si>
  <si>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</si>
  <si>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</si>
  <si>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</si>
  <si>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</si>
  <si>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</si>
  <si>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</si>
  <si>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</si>
  <si>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</si>
  <si>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</si>
  <si>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</si>
  <si>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</si>
  <si>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</si>
  <si>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</si>
  <si>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</si>
  <si>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</si>
  <si>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</si>
  <si>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</si>
  <si>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</si>
  <si>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</si>
  <si>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</si>
  <si>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</si>
  <si>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</si>
  <si>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</si>
  <si>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</si>
  <si>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</si>
  <si>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</si>
  <si>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</si>
  <si>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</si>
  <si>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</si>
  <si>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</si>
  <si>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</si>
  <si>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</si>
  <si>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</si>
  <si>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</si>
  <si>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</si>
  <si>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</si>
  <si>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</si>
  <si>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</si>
  <si>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</si>
  <si>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</si>
  <si>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</si>
  <si>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</si>
  <si>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</si>
  <si>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</si>
  <si>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</si>
  <si>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</si>
  <si>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</si>
  <si>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</si>
  <si>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</si>
  <si>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</si>
  <si>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</si>
  <si>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</si>
  <si>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</si>
  <si>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</si>
  <si>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</si>
  <si>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</si>
  <si>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</si>
  <si>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</si>
  <si>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</si>
  <si>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</si>
  <si>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</si>
  <si>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</si>
  <si>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0.45%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</si>
  <si>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</si>
  <si>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Current EV/EBITDA of 21.7x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</si>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</sst>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-0.13447253986862018</v>
      </c>
    </row>
    <row r="7" spans="1:2" x14ac:dyDescent="0.25">
      <c r="A7" t="s">
        <v>5</v>
      </c>
      <c r="B7" s="6">
        <v>0.10031434821052879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0.005384061507196283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0.023904367602629924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0.36152364972020057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1.0388600000000001</v>
      </c>
      <c r="C19" s="8" t="s">
        <v>19</v>
      </c>
    </row>
    <row r="20" spans="1:2" x14ac:dyDescent="0.25">
      <c r="A20" t="s">
        <v>20</v>
      </c>
      <c r="B20" s="10">
        <f>B17+B19*B18</f>
        <v>0.10711730000000001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24820410368</v>
      </c>
    </row>
    <row r="23" spans="1:2" x14ac:dyDescent="0.25">
      <c r="A23" t="s">
        <v>24</v>
      </c>
      <c r="B23" s="11">
        <v>570589000</v>
      </c>
    </row>
    <row r="24" spans="1:2" x14ac:dyDescent="0.25">
      <c r="A24" t="s">
        <v>25</v>
      </c>
      <c r="B24" s="10">
        <f>B22/(B22+B23)</f>
        <v>0.9775279030285391</v>
      </c>
    </row>
    <row r="25" spans="1:2" x14ac:dyDescent="0.25">
      <c r="A25" t="s">
        <v>26</v>
      </c>
      <c r="B25" s="10">
        <f>1-B24</f>
        <v>0.02247209697146091</v>
      </c>
    </row>
    <row r="26" spans="1:2" x14ac:dyDescent="0.25">
      <c r="A26" t="s">
        <v>27</v>
      </c>
      <c r="B26" s="12">
        <f>B24*B20+B25*B21*(1-B8)</f>
        <v>0.10595250155046859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11069009000</v>
      </c>
      <c r="C29" s="8" t="s">
        <v>30</v>
      </c>
    </row>
    <row r="30" spans="1:2" x14ac:dyDescent="0.25">
      <c r="A30" t="s">
        <v>31</v>
      </c>
      <c r="B30" s="11">
        <v>-743696000</v>
      </c>
    </row>
    <row r="31" spans="1:2" x14ac:dyDescent="0.25">
      <c r="A31" t="s">
        <v>32</v>
      </c>
      <c r="B31" s="13">
        <v>136249000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-0.13447253986862018</v>
      </c>
      <c r="C5" s="10">
        <f>Assumptions!B6</f>
        <v>-0.13447253986862018</v>
      </c>
      <c r="D5" s="10">
        <f>Assumptions!B6</f>
        <v>-0.13447253986862018</v>
      </c>
      <c r="E5" s="10">
        <f>Assumptions!B6</f>
        <v>-0.13447253986862018</v>
      </c>
      <c r="F5" s="10">
        <f>Assumptions!B6</f>
        <v>-0.13447253986862018</v>
      </c>
    </row>
    <row r="6" spans="1:6" x14ac:dyDescent="0.25">
      <c r="A6" t="s">
        <v>43</v>
      </c>
      <c r="B6" s="18">
        <f>Assumptions!B29*(1+B5)</f>
        <v>9580531245.941385</v>
      </c>
      <c r="C6" s="18">
        <f>B6*(1+C5)</f>
        <v>8292212876.008971</v>
      </c>
      <c r="D6" s="18">
        <f>C6*(1+D5)</f>
        <v>7177137949.440769</v>
      </c>
      <c r="E6" s="18">
        <f>D6*(1+E5)</f>
        <v>6212009980.392009</v>
      </c>
      <c r="F6" s="18">
        <f>E6*(1+F5)</f>
        <v>5376665220.639478</v>
      </c>
    </row>
    <row r="7" spans="1:6" x14ac:dyDescent="0.25">
      <c r="A7" t="s">
        <v>5</v>
      </c>
      <c r="B7" s="10">
        <f>Assumptions!B7</f>
        <v>0.10031434821052879</v>
      </c>
      <c r="C7" s="10">
        <f>Assumptions!B7</f>
        <v>0.10031434821052879</v>
      </c>
      <c r="D7" s="10">
        <f>Assumptions!B7</f>
        <v>0.10031434821052879</v>
      </c>
      <c r="E7" s="10">
        <f>Assumptions!B7</f>
        <v>0.10031434821052879</v>
      </c>
      <c r="F7" s="10">
        <f>Assumptions!B7</f>
        <v>0.10031434821052879</v>
      </c>
    </row>
    <row r="8" spans="1:6" x14ac:dyDescent="0.25">
      <c r="A8" t="s">
        <v>44</v>
      </c>
      <c r="B8" s="18">
        <f>B6*B7</f>
        <v>961064747.4472153</v>
      </c>
      <c r="C8" s="18">
        <f>C6*C7</f>
        <v>831827929.8797944</v>
      </c>
      <c r="D8" s="18">
        <f>D6*D7</f>
        <v>719969915.4152019</v>
      </c>
      <c r="E8" s="18">
        <f>E6*E7</f>
        <v>623153732.2603241</v>
      </c>
      <c r="F8" s="18">
        <f>F6*F7</f>
        <v>539356667.1546682</v>
      </c>
    </row>
    <row r="9" spans="1:6" x14ac:dyDescent="0.25">
      <c r="A9" t="s">
        <v>45</v>
      </c>
      <c r="B9" s="18">
        <f>B8*(1-Assumptions!B8)</f>
        <v>759241150.4833001</v>
      </c>
      <c r="C9" s="18">
        <f>C8*(1-Assumptions!B8)</f>
        <v>657144064.6050376</v>
      </c>
      <c r="D9" s="18">
        <f>D8*(1-Assumptions!B8)</f>
        <v>568776233.1780095</v>
      </c>
      <c r="E9" s="18">
        <f>E8*(1-Assumptions!B8)</f>
        <v>492291448.4856561</v>
      </c>
      <c r="F9" s="18">
        <f>F8*(1-Assumptions!B8)</f>
        <v>426091767.0521879</v>
      </c>
    </row>
    <row r="10" spans="1:6" x14ac:dyDescent="0.25">
      <c r="A10" t="s">
        <v>46</v>
      </c>
      <c r="B10" s="18">
        <f>B6*Assumptions!B9</f>
        <v>51582169.499764256</v>
      </c>
      <c r="C10" s="18">
        <f>C6*Assumptions!B9</f>
        <v>44645784.155197285</v>
      </c>
      <c r="D10" s="18">
        <f>D6*Assumptions!B9</f>
        <v>38642152.16542171</v>
      </c>
      <c r="E10" s="18">
        <f>E6*Assumptions!B9</f>
        <v>33445843.817747753</v>
      </c>
      <c r="F10" s="18">
        <f>F6*Assumptions!B9</f>
        <v>28948296.251526024</v>
      </c>
    </row>
    <row r="11" spans="1:6" x14ac:dyDescent="0.25">
      <c r="A11" t="s">
        <v>47</v>
      </c>
      <c r="B11" s="18">
        <f>-B6*Assumptions!B10</f>
        <v>-95805312.45941386</v>
      </c>
      <c r="C11" s="18">
        <f>-C6*Assumptions!B10</f>
        <v>-82922128.76008971</v>
      </c>
      <c r="D11" s="18">
        <f>-D6*Assumptions!B10</f>
        <v>-71771379.4944077</v>
      </c>
      <c r="E11" s="18">
        <f>-E6*Assumptions!B10</f>
        <v>-62120099.80392009</v>
      </c>
      <c r="F11" s="18">
        <f>-F6*Assumptions!B10</f>
        <v>-53766652.20639478</v>
      </c>
    </row>
    <row r="12" spans="1:6" x14ac:dyDescent="0.25">
      <c r="A12" t="s">
        <v>48</v>
      </c>
      <c r="B12" s="18">
        <f>-(B6-Assumptions!B29)*Assumptions!B11</f>
        <v>35581119.401354104</v>
      </c>
      <c r="C12" s="18">
        <f>-(C6-B6)*Assumptions!B11</f>
        <v>30796435.904085394</v>
      </c>
      <c r="D12" s="18">
        <f>-(D6-C6)*Assumptions!B11</f>
        <v>26655160.94916187</v>
      </c>
      <c r="E12" s="18">
        <f>-(E6-D6)*Assumptions!B11</f>
        <v>23070773.755721204</v>
      </c>
      <c r="F12" s="18">
        <f>-(F6-E6)*Assumptions!B11</f>
        <v>19968388.21205508</v>
      </c>
    </row>
    <row r="13" spans="1:6" x14ac:dyDescent="0.25">
      <c r="A13" s="19" t="s">
        <v>49</v>
      </c>
      <c r="B13" s="20">
        <f>B9+B10+B11+B12</f>
        <v>750599126.9250045</v>
      </c>
      <c r="C13" s="20">
        <f>C9+C10+C11+C12</f>
        <v>649664155.9042305</v>
      </c>
      <c r="D13" s="20">
        <f>D9+D10+D11+D12</f>
        <v>562302166.7981853</v>
      </c>
      <c r="E13" s="20">
        <f>E9+E10+E11+E12</f>
        <v>486687966.255205</v>
      </c>
      <c r="F13" s="20">
        <f>F9+F10+F11+F12</f>
        <v>421241799.3093742</v>
      </c>
    </row>
    <row r="14" spans="1:6" x14ac:dyDescent="0.25">
      <c r="A14" t="s">
        <v>50</v>
      </c>
      <c r="B14" s="21">
        <f>1/(1+Assumptions!$B$26)^(1-0.5*Assumptions!$B$32)</f>
        <v>0.9508932452356873</v>
      </c>
      <c r="C14" s="21">
        <f>1/(1+Assumptions!$B$26)^(2-0.5*Assumptions!$B$32)</f>
        <v>0.8597957361664276</v>
      </c>
      <c r="D14" s="21">
        <f>1/(1+Assumptions!$B$26)^(3-0.5*Assumptions!$B$32)</f>
        <v>0.7774255539555757</v>
      </c>
      <c r="E14" s="21">
        <f>1/(1+Assumptions!$B$26)^(4-0.5*Assumptions!$B$32)</f>
        <v>0.702946602919817</v>
      </c>
      <c r="F14" s="21">
        <f>1/(1+Assumptions!$B$26)^(5-0.5*Assumptions!$B$32)</f>
        <v>0.6356028870447283</v>
      </c>
    </row>
    <row r="15" spans="1:6" x14ac:dyDescent="0.25">
      <c r="A15" s="19" t="s">
        <v>51</v>
      </c>
      <c r="B15" s="20">
        <f>B13*B14</f>
        <v>713739639.6727911</v>
      </c>
      <c r="C15" s="20">
        <f>C13*C14</f>
        <v>558578471.1866186</v>
      </c>
      <c r="D15" s="20">
        <f>D13*D14</f>
        <v>437148073.51349974</v>
      </c>
      <c r="E15" s="20">
        <f>E13*E14</f>
        <v>342115652.5610509</v>
      </c>
      <c r="F15" s="20">
        <f>F13*F14</f>
        <v>267742503.7849543</v>
      </c>
    </row>
    <row r="17" spans="1:2" x14ac:dyDescent="0.25">
      <c r="A17" s="22" t="s">
        <v>52</v>
      </c>
      <c r="B17" s="23">
        <f>SUM(B15:F15)</f>
        <v>2319324340.718915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421241799.3093742</v>
      </c>
    </row>
    <row r="5" spans="1:2" x14ac:dyDescent="0.25">
      <c r="A5" t="s">
        <v>56</v>
      </c>
      <c r="B5" s="18">
        <f>IF(Assumptions!$B$33=0,B4,B4-Forecast!F11-Forecast!F10-Forecast!F12)</f>
        <v>426091767.0521879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0.0691517692392977</v>
      </c>
    </row>
    <row r="7" spans="1:2" x14ac:dyDescent="0.25">
      <c r="A7" t="s">
        <v>58</v>
      </c>
      <c r="B7" s="18">
        <f>-MAX(Forecast!F9,0)*B6</f>
        <v>-29464999.549957488</v>
      </c>
    </row>
    <row r="8" spans="1:2" x14ac:dyDescent="0.25">
      <c r="A8" t="s">
        <v>59</v>
      </c>
      <c r="B8" s="18">
        <f>IF(OR(Assumptions!$B$33=0,Assumptions!B12&lt;=0),B5,MAX(B5+B7,0))</f>
        <v>396626767.5022304</v>
      </c>
    </row>
    <row r="9" spans="1:2" x14ac:dyDescent="0.25">
      <c r="A9" t="s">
        <v>60</v>
      </c>
      <c r="B9" s="18">
        <f>B8*(1+Assumptions!B12)/(Assumptions!B26-Assumptions!B12)</f>
        <v>5021987324.707112</v>
      </c>
    </row>
    <row r="10" spans="1:2" x14ac:dyDescent="0.25">
      <c r="A10" t="s">
        <v>61</v>
      </c>
      <c r="B10" s="18">
        <f>B9/(1+Assumptions!B26)^(5-0.5*Assumptions!B32)</f>
        <v>3191989642.285872</v>
      </c>
    </row>
    <row r="11" spans="1:2" x14ac:dyDescent="0.25">
      <c r="A11" t="s">
        <v>62</v>
      </c>
      <c r="B11" s="18">
        <f>Forecast!B17+B10</f>
        <v>5511313983.004787</v>
      </c>
    </row>
    <row r="12" spans="1:2" x14ac:dyDescent="0.25">
      <c r="A12" t="s">
        <v>63</v>
      </c>
      <c r="B12" s="18">
        <f>-Assumptions!B30</f>
        <v>743696000</v>
      </c>
    </row>
    <row r="13" spans="1:2" x14ac:dyDescent="0.25">
      <c r="A13" t="s">
        <v>64</v>
      </c>
      <c r="B13" s="18">
        <f>B11+B12</f>
        <v>6255009983.004787</v>
      </c>
    </row>
    <row r="14" spans="1:2" x14ac:dyDescent="0.25">
      <c r="A14" s="19" t="s">
        <v>65</v>
      </c>
      <c r="B14" s="24">
        <f>B13/Assumptions!B31</f>
        <v>45.9086670948395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568304963.4061942</v>
      </c>
    </row>
    <row r="18" spans="1:2" x14ac:dyDescent="0.25">
      <c r="A18" t="s">
        <v>60</v>
      </c>
      <c r="B18" s="18">
        <f>B17*Assumptions!B13</f>
        <v>11366099268.123884</v>
      </c>
    </row>
    <row r="19" spans="1:2" x14ac:dyDescent="0.25">
      <c r="A19" t="s">
        <v>61</v>
      </c>
      <c r="B19" s="18">
        <f>B18/(1+Assumptions!B26)^(5-0.5*Assumptions!B32)</f>
        <v>7224325509.256515</v>
      </c>
    </row>
    <row r="20" spans="1:2" x14ac:dyDescent="0.25">
      <c r="A20" t="s">
        <v>62</v>
      </c>
      <c r="B20" s="18">
        <f>Forecast!B17+B19</f>
        <v>9543649849.97543</v>
      </c>
    </row>
    <row r="21" spans="1:2" x14ac:dyDescent="0.25">
      <c r="A21" t="s">
        <v>63</v>
      </c>
      <c r="B21" s="18">
        <f>-Assumptions!B30</f>
        <v>743696000</v>
      </c>
    </row>
    <row r="22" spans="1:2" x14ac:dyDescent="0.25">
      <c r="A22" t="s">
        <v>64</v>
      </c>
      <c r="B22" s="18">
        <f>B20+B21</f>
        <v>10287345849.97543</v>
      </c>
    </row>
    <row r="23" spans="1:2" x14ac:dyDescent="0.25">
      <c r="A23" s="19" t="s">
        <v>65</v>
      </c>
      <c r="B23" s="25">
        <f>B22/Assumptions!B31</f>
        <v>75.50400993750728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190.94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45.9086670948395</v>
      </c>
    </row>
    <row r="29" spans="1:2" x14ac:dyDescent="0.25">
      <c r="A29" s="19" t="s">
        <v>73</v>
      </c>
      <c r="B29" s="12">
        <f>B28/B26-1</f>
        <v>-0.759564957081599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0.085953</v>
      </c>
      <c r="B5" s="31">
        <v>52.71413336170669</v>
      </c>
      <c r="C5" s="31">
        <v>54.65247705643455</v>
      </c>
      <c r="D5" s="31">
        <v>56.9039308423573</v>
      </c>
      <c r="E5" s="31">
        <v>59.55243394289325</v>
      </c>
      <c r="F5" s="31">
        <v>62.71487328754992</v>
      </c>
    </row>
    <row r="6" spans="1:6" x14ac:dyDescent="0.25">
      <c r="A6" s="30">
        <v>0.095953</v>
      </c>
      <c r="B6" s="31">
        <v>47.68277113767706</v>
      </c>
      <c r="C6" s="31">
        <v>49.06701514236534</v>
      </c>
      <c r="D6" s="31">
        <v>50.64231607481092</v>
      </c>
      <c r="E6" s="31">
        <v>52.45212690783321</v>
      </c>
      <c r="F6" s="31">
        <v>54.55415847615159</v>
      </c>
    </row>
    <row r="7" spans="1:6" x14ac:dyDescent="0.25">
      <c r="A7" s="30">
        <v>0.105953</v>
      </c>
      <c r="B7" s="31">
        <v>43.74283037746453</v>
      </c>
      <c r="C7" s="31">
        <v>44.764255507917326</v>
      </c>
      <c r="D7" s="32">
        <v>45.908459817067914</v>
      </c>
      <c r="E7" s="31">
        <v>47.19969103285947</v>
      </c>
      <c r="F7" s="31">
        <v>48.669031753626285</v>
      </c>
    </row>
    <row r="8" spans="1:6" x14ac:dyDescent="0.25">
      <c r="A8" s="30">
        <v>0.115953</v>
      </c>
      <c r="B8" s="31">
        <v>40.57052391505749</v>
      </c>
      <c r="C8" s="31">
        <v>41.3437867661405</v>
      </c>
      <c r="D8" s="31">
        <v>42.19916491852649</v>
      </c>
      <c r="E8" s="31">
        <v>43.15098864014735</v>
      </c>
      <c r="F8" s="31">
        <v>44.2171285909974</v>
      </c>
    </row>
    <row r="9" spans="1:6" x14ac:dyDescent="0.25">
      <c r="A9" s="30">
        <v>0.125953</v>
      </c>
      <c r="B9" s="31">
        <v>37.958767828224616</v>
      </c>
      <c r="C9" s="31">
        <v>38.55633280002616</v>
      </c>
      <c r="D9" s="31">
        <v>39.210578032077535</v>
      </c>
      <c r="E9" s="31">
        <v>39.930364153058896</v>
      </c>
      <c r="F9" s="31">
        <v>40.72650018888418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11069009000</v>
      </c>
      <c r="C5" s="18">
        <v>10600515000</v>
      </c>
      <c r="D5" s="18">
        <v>9300110000</v>
      </c>
      <c r="E5" s="18">
        <v>17071284000</v>
      </c>
      <c r="F5" s="8" t="s">
        <v>84</v>
      </c>
    </row>
    <row r="6" spans="1:6" x14ac:dyDescent="0.25">
      <c r="A6" t="s">
        <v>44</v>
      </c>
      <c r="B6" s="18">
        <v>1052546000</v>
      </c>
      <c r="C6" s="18">
        <v>1041323000</v>
      </c>
      <c r="D6" s="18">
        <v>939933000</v>
      </c>
      <c r="E6" s="18">
        <v>1824371000</v>
      </c>
      <c r="F6" s="8" t="s">
        <v>85</v>
      </c>
    </row>
    <row r="7" spans="1:6" x14ac:dyDescent="0.25">
      <c r="A7" t="s">
        <v>86</v>
      </c>
      <c r="B7" s="18">
        <v>56769000</v>
      </c>
      <c r="C7" s="18">
        <v>61090000</v>
      </c>
      <c r="D7" s="18">
        <v>67760000</v>
      </c>
      <c r="E7" s="18">
        <v>57338000</v>
      </c>
      <c r="F7" s="8" t="s">
        <v>87</v>
      </c>
    </row>
    <row r="8" spans="1:6" x14ac:dyDescent="0.25">
      <c r="A8" t="s">
        <v>88</v>
      </c>
      <c r="B8" s="18">
        <v>53101000</v>
      </c>
      <c r="C8" s="18">
        <v>40466000</v>
      </c>
      <c r="D8" s="18">
        <v>39314000</v>
      </c>
      <c r="E8" s="18">
        <v>86824000</v>
      </c>
      <c r="F8" s="8" t="s">
        <v>89</v>
      </c>
    </row>
    <row r="9" spans="1:6" x14ac:dyDescent="0.25">
      <c r="A9" t="s">
        <v>90</v>
      </c>
      <c r="B9" s="18">
        <v>-63414000</v>
      </c>
      <c r="C9" s="18">
        <v>208676000</v>
      </c>
      <c r="D9" s="18">
        <v>-185765000</v>
      </c>
      <c r="E9" s="18">
        <v>-668273000</v>
      </c>
      <c r="F9" s="8" t="s">
        <v>91</v>
      </c>
    </row>
    <row r="10" spans="1:6" x14ac:dyDescent="0.25">
      <c r="A10" t="s">
        <v>92</v>
      </c>
      <c r="B10" s="18">
        <v>570589000</v>
      </c>
      <c r="C10" s="18">
        <v>568937000</v>
      </c>
      <c r="D10" s="18">
        <v>527733000</v>
      </c>
      <c r="E10" s="18">
        <v>518465000</v>
      </c>
      <c r="F10" s="8" t="s">
        <v>93</v>
      </c>
    </row>
    <row r="11" spans="1:6" x14ac:dyDescent="0.25">
      <c r="A11" t="s">
        <v>94</v>
      </c>
      <c r="B11" s="18">
        <v>1314285000</v>
      </c>
      <c r="C11" s="18">
        <v>1148320000</v>
      </c>
      <c r="D11" s="18">
        <v>1512883000</v>
      </c>
      <c r="E11" s="18">
        <v>2034131000</v>
      </c>
      <c r="F11" s="8" t="s">
        <v>95</v>
      </c>
    </row>
    <row r="12" spans="1:6" x14ac:dyDescent="0.25">
      <c r="A12" t="s">
        <v>32</v>
      </c>
      <c r="B12" s="34">
        <v>136249000</v>
      </c>
      <c r="C12" s="34">
        <v>141722000</v>
      </c>
      <c r="D12" s="34">
        <v>150186000</v>
      </c>
      <c r="E12" s="34">
        <v>164427000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