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<sst xmlns="http://schemas.openxmlformats.org/spreadsheetml/2006/main" count="119" uniqueCount="106">
  <si>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Expedia Group, Inc. (EXPE)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</si>
  <si>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</si>
  <si>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</si>
  <si>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</si>
  <si>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</si>
  <si>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</si>
  <si>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</si>
  <si>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</si>
  <si>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</si>
  <si>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</si>
  <si>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</si>
  <si>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</si>
  <si>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</si>
  <si>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</si>
  <si>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</si>
  <si>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</si>
  <si>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</si>
  <si>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</si>
  <si>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</si>
  <si>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</si>
  <si>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</si>
  <si>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</si>
  <si>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</si>
  <si>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</si>
  <si>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7.2x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</si>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</sst>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0.10054062648476214</v>
      </c>
    </row>
    <row r="7" spans="1:2" x14ac:dyDescent="0.25">
      <c r="A7" t="s">
        <v>4</v>
      </c>
      <c r="B7" s="5">
        <v>0.12254557556263884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0.06303805305934708</v>
      </c>
    </row>
    <row r="10" spans="1:3" x14ac:dyDescent="0.25">
      <c r="A10" t="s">
        <v>7</v>
      </c>
      <c r="B10" s="5">
        <v>0.057529150251408666</v>
      </c>
      <c r="C10" s="6" t="s">
        <v>8</v>
      </c>
    </row>
    <row r="11" spans="1:2" x14ac:dyDescent="0.25">
      <c r="A11" t="s">
        <v>9</v>
      </c>
      <c r="B11" s="5">
        <v>-0.0077069469870900045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11.475381004590163</v>
      </c>
    </row>
    <row r="14" spans="1:3" x14ac:dyDescent="0.25">
      <c r="A14" t="s">
        <v>12</v>
      </c>
      <c r="B14" s="5">
        <v>0.16213489310767</v>
      </c>
      <c r="C14" s="6" t="s">
        <v>13</v>
      </c>
    </row>
    <row r="15" spans="1:3" x14ac:dyDescent="0.25">
      <c r="A15" t="s">
        <v>14</v>
      </c>
      <c r="B15" s="5">
        <v>0.058283971151642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1.24254</v>
      </c>
      <c r="C19" s="6" t="s">
        <v>21</v>
      </c>
    </row>
    <row r="20" spans="1:2" x14ac:dyDescent="0.25">
      <c r="A20" t="s">
        <v>22</v>
      </c>
      <c r="B20" s="9">
        <f>B17+B19*B18</f>
        <v>0.101499442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34317912064</v>
      </c>
    </row>
    <row r="23" spans="1:2" x14ac:dyDescent="0.25">
      <c r="A23" t="s">
        <v>26</v>
      </c>
      <c r="B23" s="10">
        <v>6415000000</v>
      </c>
    </row>
    <row r="24" spans="1:2" x14ac:dyDescent="0.25">
      <c r="A24" t="s">
        <v>27</v>
      </c>
      <c r="B24" s="9">
        <f>B22/(B22+B23)</f>
        <v>0.8425106461840813</v>
      </c>
    </row>
    <row r="25" spans="1:2" x14ac:dyDescent="0.25">
      <c r="A25" t="s">
        <v>28</v>
      </c>
      <c r="B25" s="9">
        <f>1-B24</f>
        <v>0.15748935381591866</v>
      </c>
    </row>
    <row r="26" spans="1:2" x14ac:dyDescent="0.25">
      <c r="A26" t="s">
        <v>29</v>
      </c>
      <c r="B26" s="11">
        <f>B24*B20+B25*B21*(1-B8)</f>
        <v>0.09228759959991718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14733000000</v>
      </c>
      <c r="C29" s="6" t="s">
        <v>32</v>
      </c>
    </row>
    <row r="30" spans="1:2" x14ac:dyDescent="0.25">
      <c r="A30" t="s">
        <v>33</v>
      </c>
      <c r="B30" s="10">
        <v>682000000</v>
      </c>
    </row>
    <row r="31" spans="1:2" x14ac:dyDescent="0.25">
      <c r="A31" t="s">
        <v>34</v>
      </c>
      <c r="B31" s="12">
        <v>131943000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0.10054062648476214</v>
      </c>
      <c r="C5" s="5">
        <v>0.07040898656088013</v>
      </c>
      <c r="D5" s="5">
        <v>0.06473286324077011</v>
      </c>
      <c r="E5" s="5">
        <v>0.059056739920660094</v>
      </c>
      <c r="F5" s="5">
        <v>0.05338061660055008</v>
      </c>
      <c r="G5" s="5">
        <v>0.04770449328044006</v>
      </c>
      <c r="H5" s="5">
        <v>0.04202836996033005</v>
      </c>
      <c r="I5" s="5">
        <v>0.036352246640220034</v>
      </c>
      <c r="J5" s="5">
        <v>0.030676123320110014</v>
      </c>
      <c r="K5" s="5">
        <v>0.025</v>
      </c>
    </row>
    <row r="6" spans="1:11" x14ac:dyDescent="0.25">
      <c r="A6" t="s">
        <v>50</v>
      </c>
      <c r="B6" s="18">
        <f>Assumptions!B29*(1+B5)</f>
        <v>16214265050</v>
      </c>
      <c r="C6" s="18">
        <f>B6*(1+C5)</f>
        <v>17355895020</v>
      </c>
      <c r="D6" s="18">
        <f>C6*(1+D5)</f>
        <v>18479391798.750824</v>
      </c>
      <c r="E6" s="18">
        <f>D6*(1+E5)</f>
        <v>19570724434.10163</v>
      </c>
      <c r="F6" s="18">
        <f>E6*(1+F5)</f>
        <v>20615421771.71343</v>
      </c>
      <c r="G6" s="18">
        <f>F6*(1+G5)</f>
        <v>21598870021.09557</v>
      </c>
      <c r="H6" s="18">
        <f>G6*(1+H5)</f>
        <v>22506635321.067257</v>
      </c>
      <c r="I6" s="18">
        <f>H6*(1+I5)</f>
        <v>23324802079.30018</v>
      </c>
      <c r="J6" s="18">
        <f>I6*(1+J5)</f>
        <v>24040316584.30195</v>
      </c>
      <c r="K6" s="18">
        <f>J6*(1+K5)</f>
        <v>24641324498.909496</v>
      </c>
    </row>
    <row r="7" spans="1:11" x14ac:dyDescent="0.25">
      <c r="A7" t="s">
        <v>4</v>
      </c>
      <c r="B7" s="9">
        <f>Assumptions!B7</f>
        <v>0.12254557556263884</v>
      </c>
      <c r="C7" s="9">
        <f>Assumptions!B7</f>
        <v>0.12254557556263884</v>
      </c>
      <c r="D7" s="9">
        <f>Assumptions!B7</f>
        <v>0.12254557556263884</v>
      </c>
      <c r="E7" s="9">
        <f>Assumptions!B7</f>
        <v>0.12254557556263884</v>
      </c>
      <c r="F7" s="9">
        <f>Assumptions!B7</f>
        <v>0.12254557556263884</v>
      </c>
      <c r="G7" s="9">
        <f>Assumptions!B7</f>
        <v>0.12254557556263884</v>
      </c>
      <c r="H7" s="9">
        <f>Assumptions!B7</f>
        <v>0.12254557556263884</v>
      </c>
      <c r="I7" s="9">
        <f>Assumptions!B7</f>
        <v>0.12254557556263884</v>
      </c>
      <c r="J7" s="9">
        <f>Assumptions!B7</f>
        <v>0.12254557556263884</v>
      </c>
      <c r="K7" s="9">
        <f>Assumptions!B7</f>
        <v>0.12254557556263884</v>
      </c>
    </row>
    <row r="8" spans="1:11" x14ac:dyDescent="0.25">
      <c r="A8" t="s">
        <v>51</v>
      </c>
      <c r="B8" s="18">
        <f>B6*B7</f>
        <v>1986986442.877429</v>
      </c>
      <c r="C8" s="18">
        <f>C6*C7</f>
        <v>2126888144.6306372</v>
      </c>
      <c r="D8" s="18">
        <f>D6*D7</f>
        <v>2264567704.025428</v>
      </c>
      <c r="E8" s="18">
        <f>E6*E7</f>
        <v>2398305689.954784</v>
      </c>
      <c r="F8" s="18">
        <f>F6*F7</f>
        <v>2526328726.481178</v>
      </c>
      <c r="G8" s="18">
        <f>G6*G7</f>
        <v>2646845958.237782</v>
      </c>
      <c r="H8" s="18">
        <f>H6*H7</f>
        <v>2758088579.398604</v>
      </c>
      <c r="I8" s="18">
        <f>I6*I7</f>
        <v>2858351295.692476</v>
      </c>
      <c r="J8" s="18">
        <f>J6*J7</f>
        <v>2946034432.531334</v>
      </c>
      <c r="K8" s="18">
        <f>K6*K7</f>
        <v>3019685293.3446174</v>
      </c>
    </row>
    <row r="9" spans="1:11" x14ac:dyDescent="0.25">
      <c r="A9" t="s">
        <v>52</v>
      </c>
      <c r="B9" s="18">
        <f>B8*(1-Assumptions!B8)</f>
        <v>1569719289.873169</v>
      </c>
      <c r="C9" s="18">
        <f>C8*(1-Assumptions!B8)</f>
        <v>1680241634.2582035</v>
      </c>
      <c r="D9" s="18">
        <f>D8*(1-Assumptions!B8)</f>
        <v>1789008486.180088</v>
      </c>
      <c r="E9" s="18">
        <f>E8*(1-Assumptions!B8)</f>
        <v>1894661495.0642793</v>
      </c>
      <c r="F9" s="18">
        <f>F8*(1-Assumptions!B8)</f>
        <v>1995799693.9201305</v>
      </c>
      <c r="G9" s="18">
        <f>G8*(1-Assumptions!B8)</f>
        <v>2091008307.0078478</v>
      </c>
      <c r="H9" s="18">
        <f>H8*(1-Assumptions!B8)</f>
        <v>2178889977.7248974</v>
      </c>
      <c r="I9" s="18">
        <f>I8*(1-Assumptions!B8)</f>
        <v>2258097523.597056</v>
      </c>
      <c r="J9" s="18">
        <f>J8*(1-Assumptions!B8)</f>
        <v>2327367201.6997538</v>
      </c>
      <c r="K9" s="18">
        <f>K8*(1-Assumptions!B8)</f>
        <v>2385551381.742248</v>
      </c>
    </row>
    <row r="10" spans="1:11" x14ac:dyDescent="0.25">
      <c r="A10" t="s">
        <v>53</v>
      </c>
      <c r="B10" s="18">
        <f>B6*Assumptions!B9</f>
        <v>1022115700.5402169</v>
      </c>
      <c r="C10" s="18">
        <f>C6*Assumptions!B9</f>
        <v>1094081831.1632178</v>
      </c>
      <c r="D10" s="18">
        <f>D6*Assumptions!B9</f>
        <v>1164904880.7141178</v>
      </c>
      <c r="E10" s="18">
        <f>E6*Assumptions!B9</f>
        <v>1233700365.286759</v>
      </c>
      <c r="F10" s="18">
        <f>F6*Assumptions!B9</f>
        <v>1299556051.4860902</v>
      </c>
      <c r="G10" s="18">
        <f>G6*Assumptions!B9</f>
        <v>1361550714.4117634</v>
      </c>
      <c r="H10" s="18">
        <f>H6*Assumptions!B9</f>
        <v>1418774471.5568128</v>
      </c>
      <c r="I10" s="18">
        <f>I6*Assumptions!B9</f>
        <v>1470350111.0736938</v>
      </c>
      <c r="J10" s="18">
        <f>J6*Assumptions!B9</f>
        <v>1515454752.4047277</v>
      </c>
      <c r="K10" s="18">
        <f>K6*Assumptions!B9</f>
        <v>1553341121.214846</v>
      </c>
    </row>
    <row r="11" spans="1:11" x14ac:dyDescent="0.25">
      <c r="A11" t="s">
        <v>54</v>
      </c>
      <c r="B11" s="18">
        <f>-B6*B19</f>
        <v>-932792890.2776142</v>
      </c>
      <c r="C11" s="18">
        <f>-C6*C19</f>
        <v>-1029829036.3116025</v>
      </c>
      <c r="D11" s="18">
        <f>-D6*D19</f>
        <v>-1129881929.616086</v>
      </c>
      <c r="E11" s="18">
        <f>-E6*E19</f>
        <v>-1231970036.0625415</v>
      </c>
      <c r="F11" s="18">
        <f>-F6*F19</f>
        <v>-1334981909.4275947</v>
      </c>
      <c r="G11" s="18">
        <f>-G6*G19</f>
        <v>-1437692021.518177</v>
      </c>
      <c r="H11" s="18">
        <f>-H6*H19</f>
        <v>-1538781527.4172015</v>
      </c>
      <c r="I11" s="18">
        <f>-I6*I19</f>
        <v>-1636863634.6310954</v>
      </c>
      <c r="J11" s="18">
        <f>-J6*J19</f>
        <v>-1730513019.6988857</v>
      </c>
      <c r="K11" s="18">
        <f>-K6*K19</f>
        <v>-1818298518.4038422</v>
      </c>
    </row>
    <row r="12" spans="1:11" x14ac:dyDescent="0.25">
      <c r="A12" t="s">
        <v>55</v>
      </c>
      <c r="B12" s="18">
        <f>-(B6-Assumptions!B29)*Assumptions!B11</f>
        <v>11416031.214179225</v>
      </c>
      <c r="C12" s="18">
        <f>-(C6-B6)*Assumptions!B11</f>
        <v>8798481.657663152</v>
      </c>
      <c r="D12" s="18">
        <f>-(D6-C6)*Assumptions!B11</f>
        <v>8658730.113998989</v>
      </c>
      <c r="E12" s="18">
        <f>-(E6-D6)*Assumptions!B11</f>
        <v>8410842.765929898</v>
      </c>
      <c r="F12" s="18">
        <f>-(F6-E6)*Assumptions!B11</f>
        <v>8051426.998528191</v>
      </c>
      <c r="G12" s="18">
        <f>-(G6-F6)*Assumptions!B11</f>
        <v>7579383.522534632</v>
      </c>
      <c r="H12" s="18">
        <f>-(H6-G6)*Assumptions!B11</f>
        <v>6996099.04360165</v>
      </c>
      <c r="I12" s="18">
        <f>-(I6-H6)*Assumptions!B11</f>
        <v>6305567.832300412</v>
      </c>
      <c r="J12" s="18">
        <f>-(J6-I6)*Assumptions!B11</f>
        <v>5514432.358542588</v>
      </c>
      <c r="K12" s="18">
        <f>-(K6-J6)*Assumptions!B11</f>
        <v>4631936.136701887</v>
      </c>
    </row>
    <row r="13" spans="1:11" x14ac:dyDescent="0.25">
      <c r="A13" s="19" t="s">
        <v>56</v>
      </c>
      <c r="B13" s="20">
        <f>B9+B10+B11+B12</f>
        <v>1670458131.349951</v>
      </c>
      <c r="C13" s="20">
        <f>C9+C10+C11+C12</f>
        <v>1753292910.7674816</v>
      </c>
      <c r="D13" s="20">
        <f>D9+D10+D11+D12</f>
        <v>1832690167.392119</v>
      </c>
      <c r="E13" s="20">
        <f>E9+E10+E11+E12</f>
        <v>1904802667.0544264</v>
      </c>
      <c r="F13" s="20">
        <f>F9+F10+F11+F12</f>
        <v>1968425262.977154</v>
      </c>
      <c r="G13" s="20">
        <f>G9+G10+G11+G12</f>
        <v>2022446383.4239686</v>
      </c>
      <c r="H13" s="20">
        <f>H9+H10+H11+H12</f>
        <v>2065879020.9081104</v>
      </c>
      <c r="I13" s="20">
        <f>I9+I10+I11+I12</f>
        <v>2097889567.8719547</v>
      </c>
      <c r="J13" s="20">
        <f>J9+J10+J11+J12</f>
        <v>2117823366.7641387</v>
      </c>
      <c r="K13" s="20">
        <f>K9+K10+K11+K12</f>
        <v>2125225920.6899538</v>
      </c>
    </row>
    <row r="14" spans="1:11" x14ac:dyDescent="0.25">
      <c r="A14" t="s">
        <v>57</v>
      </c>
      <c r="B14" s="21">
        <f>1/(1+Assumptions!$B$26)^(1-0.5*Assumptions!$B$32)</f>
        <v>0.9568227622210357</v>
      </c>
      <c r="C14" s="21">
        <f>1/(1+Assumptions!$B$26)^(2-0.5*Assumptions!$B$32)</f>
        <v>0.8759806140539362</v>
      </c>
      <c r="D14" s="21">
        <f>1/(1+Assumptions!$B$26)^(3-0.5*Assumptions!$B$32)</f>
        <v>0.8019688352909894</v>
      </c>
      <c r="E14" s="21">
        <f>1/(1+Assumptions!$B$26)^(4-0.5*Assumptions!$B$32)</f>
        <v>0.734210326643582</v>
      </c>
      <c r="F14" s="21">
        <f>1/(1+Assumptions!$B$26)^(5-0.5*Assumptions!$B$32)</f>
        <v>0.6721767480583944</v>
      </c>
      <c r="G14" s="21">
        <f>1/(1+Assumptions!$B$26)^(6-0.5*Assumptions!$B$32)</f>
        <v>0.6153843990397758</v>
      </c>
      <c r="H14" s="21">
        <f>1/(1+Assumptions!$B$26)^(7-0.5*Assumptions!$B$32)</f>
        <v>0.5633904470445135</v>
      </c>
      <c r="I14" s="21">
        <f>1/(1+Assumptions!$B$26)^(8-0.5*Assumptions!$B$32)</f>
        <v>0.5157894745402877</v>
      </c>
      <c r="J14" s="21">
        <f>1/(1+Assumptions!$B$26)^(9-0.5*Assumptions!$B$32)</f>
        <v>0.47221031780385575</v>
      </c>
      <c r="K14" s="21">
        <f>1/(1+Assumptions!$B$26)^(10-0.5*Assumptions!$B$32)</f>
        <v>0.4323131728098138</v>
      </c>
    </row>
    <row r="15" spans="1:11" x14ac:dyDescent="0.25">
      <c r="A15" s="19" t="s">
        <v>58</v>
      </c>
      <c r="B15" s="20">
        <f>B13*B14</f>
        <v>1598332363.41285</v>
      </c>
      <c r="C15" s="20">
        <f>C13*C14</f>
        <v>1535850600.5905118</v>
      </c>
      <c r="D15" s="20">
        <f>D13*D14</f>
        <v>1469760398.992706</v>
      </c>
      <c r="E15" s="20">
        <f>E13*E14</f>
        <v>1398525788.3695965</v>
      </c>
      <c r="F15" s="20">
        <f>F13*F14</f>
        <v>1323129692.0639732</v>
      </c>
      <c r="G15" s="20">
        <f>G13*G14</f>
        <v>1244581952.253527</v>
      </c>
      <c r="H15" s="20">
        <f>H13*H14</f>
        <v>1163896505.129302</v>
      </c>
      <c r="I15" s="20">
        <f>I13*I14</f>
        <v>1082069357.8562267</v>
      </c>
      <c r="J15" s="20">
        <f>J13*J14</f>
        <v>1000058045.0721257</v>
      </c>
      <c r="K15" s="20">
        <f>K13*K14</f>
        <v>918763160.7111316</v>
      </c>
    </row>
    <row r="17" spans="1:2" x14ac:dyDescent="0.25">
      <c r="A17" s="22" t="s">
        <v>59</v>
      </c>
      <c r="B17" s="23">
        <f>SUM(B15:K15)</f>
        <v>12734967864.45195</v>
      </c>
    </row>
    <row r="19" spans="1:11" x14ac:dyDescent="0.25">
      <c r="A19" t="s">
        <v>7</v>
      </c>
      <c r="B19" s="9">
        <f>Assumptions!$B$10+($B$20-Assumptions!$B$10)*0/9</f>
        <v>0.057529150251408666</v>
      </c>
      <c r="C19" s="9">
        <f>Assumptions!$B$10+($B$20-Assumptions!$B$10)*1/9</f>
        <v>0.0593359797996521</v>
      </c>
      <c r="D19" s="9">
        <f>Assumptions!$B$10+($B$20-Assumptions!$B$10)*2/9</f>
        <v>0.06114280934789553</v>
      </c>
      <c r="E19" s="9">
        <f>Assumptions!$B$10+($B$20-Assumptions!$B$10)*3/9</f>
        <v>0.06294963889613897</v>
      </c>
      <c r="F19" s="9">
        <f>Assumptions!$B$10+($B$20-Assumptions!$B$10)*4/9</f>
        <v>0.0647564684443824</v>
      </c>
      <c r="G19" s="9">
        <f>Assumptions!$B$10+($B$20-Assumptions!$B$10)*5/9</f>
        <v>0.06656329799262584</v>
      </c>
      <c r="H19" s="9">
        <f>Assumptions!$B$10+($B$20-Assumptions!$B$10)*6/9</f>
        <v>0.06837012754086927</v>
      </c>
      <c r="I19" s="9">
        <f>Assumptions!$B$10+($B$20-Assumptions!$B$10)*7/9</f>
        <v>0.0701769570891127</v>
      </c>
      <c r="J19" s="9">
        <f>Assumptions!$B$10+($B$20-Assumptions!$B$10)*8/9</f>
        <v>0.07198378663735613</v>
      </c>
      <c r="K19" s="9">
        <f>Assumptions!$B$10+($B$20-Assumptions!$B$10)*9/9</f>
        <v>0.07379061618559957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0.07379061618559957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2125225920.6899538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2478097412.9781504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0.15419259556545972</v>
      </c>
    </row>
    <row r="7" spans="1:2" x14ac:dyDescent="0.25">
      <c r="A7" t="s">
        <v>66</v>
      </c>
      <c r="B7" s="18">
        <f>-MAX(B5,0)*B6</f>
        <v>-382104272.17115194</v>
      </c>
    </row>
    <row r="8" spans="1:2" x14ac:dyDescent="0.25">
      <c r="A8" t="s">
        <v>67</v>
      </c>
      <c r="B8" s="18">
        <f>IF(OR(Assumptions!$B$33=0,Assumptions!B12&lt;=0),B5,MAX(B5+B7,0))</f>
        <v>2095993140.8069985</v>
      </c>
    </row>
    <row r="9" spans="1:2" x14ac:dyDescent="0.25">
      <c r="A9" t="s">
        <v>68</v>
      </c>
      <c r="B9" s="18">
        <f>B8*(1+Assumptions!B12)/(Assumptions!B26-Assumptions!B12)</f>
        <v>31928512565.48343</v>
      </c>
    </row>
    <row r="10" spans="1:2" x14ac:dyDescent="0.25">
      <c r="A10" t="s">
        <v>69</v>
      </c>
      <c r="B10" s="18">
        <f>B9/(1+Assumptions!B26)^(10-0.5*Assumptions!B32)</f>
        <v>13803116570.282148</v>
      </c>
    </row>
    <row r="11" spans="1:2" x14ac:dyDescent="0.25">
      <c r="A11" t="s">
        <v>70</v>
      </c>
      <c r="B11" s="18">
        <f>Forecast!B17+B10</f>
        <v>26538084434.7341</v>
      </c>
    </row>
    <row r="12" spans="1:2" x14ac:dyDescent="0.25">
      <c r="A12" t="s">
        <v>71</v>
      </c>
      <c r="B12" s="18">
        <f>-Assumptions!B30</f>
        <v>-682000000</v>
      </c>
    </row>
    <row r="13" spans="1:2" x14ac:dyDescent="0.25">
      <c r="A13" t="s">
        <v>72</v>
      </c>
      <c r="B13" s="18">
        <f>B11+B12</f>
        <v>25856084434.7341</v>
      </c>
    </row>
    <row r="14" spans="1:2" x14ac:dyDescent="0.25">
      <c r="A14" s="19" t="s">
        <v>73</v>
      </c>
      <c r="B14" s="24">
        <f>B13/Assumptions!B31</f>
        <v>195.9640483749354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4573026414.5594635</v>
      </c>
    </row>
    <row r="18" spans="1:2" x14ac:dyDescent="0.25">
      <c r="A18" t="s">
        <v>68</v>
      </c>
      <c r="B18" s="18">
        <f>B17*Assumptions!B13</f>
        <v>52477220451.12473</v>
      </c>
    </row>
    <row r="19" spans="1:2" x14ac:dyDescent="0.25">
      <c r="A19" t="s">
        <v>69</v>
      </c>
      <c r="B19" s="18">
        <f>B18/(1+Assumptions!B26)^(10-0.5*Assumptions!B32)</f>
        <v>22686593673.465782</v>
      </c>
    </row>
    <row r="20" spans="1:2" x14ac:dyDescent="0.25">
      <c r="A20" t="s">
        <v>70</v>
      </c>
      <c r="B20" s="18">
        <f>Forecast!B17+B19</f>
        <v>35421561537.91773</v>
      </c>
    </row>
    <row r="21" spans="1:2" x14ac:dyDescent="0.25">
      <c r="A21" t="s">
        <v>71</v>
      </c>
      <c r="B21" s="18">
        <f>-Assumptions!B30</f>
        <v>-682000000</v>
      </c>
    </row>
    <row r="22" spans="1:2" x14ac:dyDescent="0.25">
      <c r="A22" t="s">
        <v>72</v>
      </c>
      <c r="B22" s="18">
        <f>B20+B21</f>
        <v>34739561537.91773</v>
      </c>
    </row>
    <row r="23" spans="1:2" x14ac:dyDescent="0.25">
      <c r="A23" s="19" t="s">
        <v>73</v>
      </c>
      <c r="B23" s="25">
        <f>B22/Assumptions!B31</f>
        <v>263.2921908545185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285.93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195.9640483749354</v>
      </c>
    </row>
    <row r="29" spans="1:2" x14ac:dyDescent="0.25">
      <c r="A29" s="19" t="s">
        <v>81</v>
      </c>
      <c r="B29" s="11">
        <f>B28/B26-1</f>
        <v>-0.3146432750150897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0.072288</v>
      </c>
      <c r="B5" s="31">
        <v>258.76362652877975</v>
      </c>
      <c r="C5" s="31">
        <v>267.01673221424437</v>
      </c>
      <c r="D5" s="31">
        <v>277.29969129049516</v>
      </c>
      <c r="E5" s="31">
        <v>290.3325141827544</v>
      </c>
      <c r="F5" s="31">
        <v>307.2214001304591</v>
      </c>
    </row>
    <row r="6" spans="1:6" x14ac:dyDescent="0.25">
      <c r="A6" s="30">
        <v>0.082288</v>
      </c>
      <c r="B6" s="31">
        <v>219.85330904896702</v>
      </c>
      <c r="C6" s="31">
        <v>224.2152086706988</v>
      </c>
      <c r="D6" s="31">
        <v>229.56058419385047</v>
      </c>
      <c r="E6" s="31">
        <v>236.171568010583</v>
      </c>
      <c r="F6" s="31">
        <v>244.44961766622936</v>
      </c>
    </row>
    <row r="7" spans="1:6" x14ac:dyDescent="0.25">
      <c r="A7" s="30">
        <v>0.092288</v>
      </c>
      <c r="B7" s="31">
        <v>191.0239818060454</v>
      </c>
      <c r="C7" s="31">
        <v>193.23936760462047</v>
      </c>
      <c r="D7" s="32">
        <v>195.9629021374446</v>
      </c>
      <c r="E7" s="31">
        <v>199.31695618241636</v>
      </c>
      <c r="F7" s="31">
        <v>203.46662177769753</v>
      </c>
    </row>
    <row r="8" spans="1:6" x14ac:dyDescent="0.25">
      <c r="A8" s="30">
        <v>0.102288</v>
      </c>
      <c r="B8" s="31">
        <v>168.8106382503212</v>
      </c>
      <c r="C8" s="31">
        <v>169.77950888399005</v>
      </c>
      <c r="D8" s="31">
        <v>171.0212495543294</v>
      </c>
      <c r="E8" s="31">
        <v>172.59248169989147</v>
      </c>
      <c r="F8" s="31">
        <v>174.56665633910958</v>
      </c>
    </row>
    <row r="9" spans="1:6" x14ac:dyDescent="0.25">
      <c r="A9" s="30">
        <v>0.112288</v>
      </c>
      <c r="B9" s="31">
        <v>151.17289007638655</v>
      </c>
      <c r="C9" s="31">
        <v>151.3936986172776</v>
      </c>
      <c r="D9" s="31">
        <v>151.76360039243193</v>
      </c>
      <c r="E9" s="31">
        <v>152.30977310107613</v>
      </c>
      <c r="F9" s="31">
        <v>153.06642728045205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14733000000</v>
      </c>
      <c r="C5" s="18">
        <v>13691000000</v>
      </c>
      <c r="D5" s="18">
        <v>12839000000</v>
      </c>
      <c r="E5" s="18">
        <v>11667000000</v>
      </c>
      <c r="F5" s="6" t="s">
        <v>91</v>
      </c>
    </row>
    <row r="6" spans="1:6" x14ac:dyDescent="0.25">
      <c r="A6" t="s">
        <v>51</v>
      </c>
      <c r="B6" s="18">
        <v>2163000000</v>
      </c>
      <c r="C6" s="18">
        <v>1670000000</v>
      </c>
      <c r="D6" s="18">
        <v>1534000000</v>
      </c>
      <c r="E6" s="18">
        <v>1189000000</v>
      </c>
      <c r="F6" s="6" t="s">
        <v>92</v>
      </c>
    </row>
    <row r="7" spans="1:6" x14ac:dyDescent="0.25">
      <c r="A7" t="s">
        <v>93</v>
      </c>
      <c r="B7" s="18">
        <v>887000000</v>
      </c>
      <c r="C7" s="18">
        <v>838000000</v>
      </c>
      <c r="D7" s="18">
        <v>807000000</v>
      </c>
      <c r="E7" s="18">
        <v>792000000</v>
      </c>
      <c r="F7" s="6" t="s">
        <v>94</v>
      </c>
    </row>
    <row r="8" spans="1:6" x14ac:dyDescent="0.25">
      <c r="A8" t="s">
        <v>95</v>
      </c>
      <c r="B8" s="18">
        <v>770000000</v>
      </c>
      <c r="C8" s="18">
        <v>756000000</v>
      </c>
      <c r="D8" s="18">
        <v>846000000</v>
      </c>
      <c r="E8" s="18">
        <v>662000000</v>
      </c>
      <c r="F8" s="6" t="s">
        <v>96</v>
      </c>
    </row>
    <row r="9" spans="1:6" x14ac:dyDescent="0.25">
      <c r="A9" t="s">
        <v>97</v>
      </c>
      <c r="B9" s="18">
        <v>-1173000000</v>
      </c>
      <c r="C9" s="18">
        <v>-419000000</v>
      </c>
      <c r="D9" s="18">
        <v>-271000000</v>
      </c>
      <c r="E9" s="18">
        <v>-1261000000</v>
      </c>
      <c r="F9" s="6" t="s">
        <v>98</v>
      </c>
    </row>
    <row r="10" spans="1:6" x14ac:dyDescent="0.25">
      <c r="A10" t="s">
        <v>99</v>
      </c>
      <c r="B10" s="18">
        <v>6415000000</v>
      </c>
      <c r="C10" s="18">
        <v>6531000000</v>
      </c>
      <c r="D10" s="18">
        <v>6567000000</v>
      </c>
      <c r="E10" s="18">
        <v>6552000000</v>
      </c>
      <c r="F10" s="6" t="s">
        <v>100</v>
      </c>
    </row>
    <row r="11" spans="1:6" x14ac:dyDescent="0.25">
      <c r="A11" t="s">
        <v>101</v>
      </c>
      <c r="B11" s="18">
        <v>5733000000</v>
      </c>
      <c r="C11" s="18">
        <v>4483000000</v>
      </c>
      <c r="D11" s="18">
        <v>4253000000</v>
      </c>
      <c r="E11" s="18">
        <v>4144000000</v>
      </c>
      <c r="F11" s="6" t="s">
        <v>102</v>
      </c>
    </row>
    <row r="12" spans="1:6" x14ac:dyDescent="0.25">
      <c r="A12" t="s">
        <v>34</v>
      </c>
      <c r="B12" s="34">
        <v>131943000</v>
      </c>
      <c r="C12" s="34">
        <v>137919000</v>
      </c>
      <c r="D12" s="34">
        <v>150228000</v>
      </c>
      <c r="E12" s="34">
        <v>161751000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