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<sst xmlns="http://schemas.openxmlformats.org/spreadsheetml/2006/main" count="113" uniqueCount="101">
  <si>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Experian plc (EXPN.L)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</si>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</sst>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0.08459872843324256</v>
      </c>
    </row>
    <row r="7" spans="1:2" x14ac:dyDescent="0.25">
      <c r="A7" t="s">
        <v>5</v>
      </c>
      <c r="B7" s="6">
        <v>0.22757494494300995</v>
      </c>
    </row>
    <row r="8" spans="1:2" x14ac:dyDescent="0.25">
      <c r="A8" t="s">
        <v>6</v>
      </c>
      <c r="B8" s="6">
        <v>0.23586851390374702</v>
      </c>
    </row>
    <row r="9" spans="1:2" x14ac:dyDescent="0.25">
      <c r="A9" t="s">
        <v>7</v>
      </c>
      <c r="B9" s="6">
        <v>0.10173041368474758</v>
      </c>
    </row>
    <row r="10" spans="1:2" x14ac:dyDescent="0.25">
      <c r="A10" t="s">
        <v>8</v>
      </c>
      <c r="B10" s="6">
        <v>0.08935222615266039</v>
      </c>
    </row>
    <row r="11" spans="1:2" x14ac:dyDescent="0.25">
      <c r="A11" t="s">
        <v>9</v>
      </c>
      <c r="B11" s="6">
        <v>0.1267605633802817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10.02357432660048</v>
      </c>
    </row>
    <row r="14" spans="1:3" x14ac:dyDescent="0.25">
      <c r="A14" t="s">
        <v>12</v>
      </c>
      <c r="B14" s="6">
        <v>0.1401378429231325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0.89749</v>
      </c>
      <c r="C19" s="8" t="s">
        <v>19</v>
      </c>
    </row>
    <row r="20" spans="1:2" x14ac:dyDescent="0.25">
      <c r="A20" t="s">
        <v>20</v>
      </c>
      <c r="B20" s="10">
        <f>B17+B19*B18</f>
        <v>0.09436195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24049860608</v>
      </c>
    </row>
    <row r="23" spans="1:2" x14ac:dyDescent="0.25">
      <c r="A23" t="s">
        <v>24</v>
      </c>
      <c r="B23" s="11">
        <v>5565000000</v>
      </c>
    </row>
    <row r="24" spans="1:2" x14ac:dyDescent="0.25">
      <c r="A24" t="s">
        <v>25</v>
      </c>
      <c r="B24" s="10">
        <f>B22/(B22+B23)</f>
        <v>0.8120875842145041</v>
      </c>
    </row>
    <row r="25" spans="1:2" x14ac:dyDescent="0.25">
      <c r="A25" t="s">
        <v>26</v>
      </c>
      <c r="B25" s="10">
        <f>1-B24</f>
        <v>0.1879124157854959</v>
      </c>
    </row>
    <row r="26" spans="1:2" x14ac:dyDescent="0.25">
      <c r="A26" t="s">
        <v>27</v>
      </c>
      <c r="B26" s="12">
        <f>B24*B20+B25*B21*(1-B8)</f>
        <v>0.08309170872612467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8445000000</v>
      </c>
      <c r="C29" s="8" t="s">
        <v>30</v>
      </c>
    </row>
    <row r="30" spans="1:2" x14ac:dyDescent="0.25">
      <c r="A30" t="s">
        <v>31</v>
      </c>
      <c r="B30" s="11">
        <v>5229000000</v>
      </c>
    </row>
    <row r="31" spans="1:2" x14ac:dyDescent="0.25">
      <c r="A31" t="s">
        <v>32</v>
      </c>
      <c r="B31" s="13">
        <v>899066092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0.08459872843324256</v>
      </c>
      <c r="C5" s="10">
        <f>Assumptions!B6</f>
        <v>0.08459872843324256</v>
      </c>
      <c r="D5" s="10">
        <f>Assumptions!B6</f>
        <v>0.08459872843324256</v>
      </c>
      <c r="E5" s="10">
        <f>Assumptions!B6</f>
        <v>0.08459872843324256</v>
      </c>
      <c r="F5" s="10">
        <f>Assumptions!B6</f>
        <v>0.08459872843324256</v>
      </c>
    </row>
    <row r="6" spans="1:6" x14ac:dyDescent="0.25">
      <c r="A6" t="s">
        <v>43</v>
      </c>
      <c r="B6" s="18">
        <f>Assumptions!B29*(1+B5)</f>
        <v>9159436261.618734</v>
      </c>
      <c r="C6" s="18">
        <f>B6*(1+C5)</f>
        <v>9934312922.517012</v>
      </c>
      <c r="D6" s="18">
        <f>C6*(1+D5)</f>
        <v>10774743163.61988</v>
      </c>
      <c r="E6" s="18">
        <f>D6*(1+E5)</f>
        <v>11686272734.456896</v>
      </c>
      <c r="F6" s="18">
        <f>E6*(1+F5)</f>
        <v>12674916547.916021</v>
      </c>
    </row>
    <row r="7" spans="1:6" x14ac:dyDescent="0.25">
      <c r="A7" t="s">
        <v>5</v>
      </c>
      <c r="B7" s="10">
        <f>Assumptions!B7</f>
        <v>0.22757494494300995</v>
      </c>
      <c r="C7" s="10">
        <f>Assumptions!B7</f>
        <v>0.22757494494300995</v>
      </c>
      <c r="D7" s="10">
        <f>Assumptions!B7</f>
        <v>0.22757494494300995</v>
      </c>
      <c r="E7" s="10">
        <f>Assumptions!B7</f>
        <v>0.22757494494300995</v>
      </c>
      <c r="F7" s="10">
        <f>Assumptions!B7</f>
        <v>0.22757494494300995</v>
      </c>
    </row>
    <row r="8" spans="1:6" x14ac:dyDescent="0.25">
      <c r="A8" t="s">
        <v>44</v>
      </c>
      <c r="B8" s="18">
        <f>B6*B7</f>
        <v>2084458202.9468923</v>
      </c>
      <c r="C8" s="18">
        <f>C6*C7</f>
        <v>2260800716.388441</v>
      </c>
      <c r="D8" s="18">
        <f>D6*D7</f>
        <v>2452061582.235867</v>
      </c>
      <c r="E8" s="18">
        <f>E6*E7</f>
        <v>2659502874.1330266</v>
      </c>
      <c r="F8" s="18">
        <f>F6*F7</f>
        <v>2884493435.5492344</v>
      </c>
    </row>
    <row r="9" spans="1:6" x14ac:dyDescent="0.25">
      <c r="A9" t="s">
        <v>45</v>
      </c>
      <c r="B9" s="18">
        <f>B8*(1-Assumptions!B8)</f>
        <v>1592800144.3233335</v>
      </c>
      <c r="C9" s="18">
        <f>C8*(1-Assumptions!B8)</f>
        <v>1727549011.1813726</v>
      </c>
      <c r="D9" s="18">
        <f>D8*(1-Assumptions!B8)</f>
        <v>1873697460.8334224</v>
      </c>
      <c r="E9" s="18">
        <f>E8*(1-Assumptions!B8)</f>
        <v>2032209883.4885254</v>
      </c>
      <c r="F9" s="18">
        <f>F8*(1-Assumptions!B8)</f>
        <v>2204132255.5411224</v>
      </c>
    </row>
    <row r="10" spans="1:6" x14ac:dyDescent="0.25">
      <c r="A10" t="s">
        <v>46</v>
      </c>
      <c r="B10" s="18">
        <f>B6*Assumptions!B9</f>
        <v>931793240.0135517</v>
      </c>
      <c r="C10" s="18">
        <f>C6*Assumptions!B9</f>
        <v>1010621763.2813894</v>
      </c>
      <c r="D10" s="18">
        <f>D6*Assumptions!B9</f>
        <v>1096119079.3819563</v>
      </c>
      <c r="E10" s="18">
        <f>E6*Assumptions!B9</f>
        <v>1188849359.7090864</v>
      </c>
      <c r="F10" s="18">
        <f>F6*Assumptions!B9</f>
        <v>1289424503.8391497</v>
      </c>
    </row>
    <row r="11" spans="1:6" x14ac:dyDescent="0.25">
      <c r="A11" t="s">
        <v>47</v>
      </c>
      <c r="B11" s="18">
        <f>-B6*Assumptions!B10</f>
        <v>-818416020.2790354</v>
      </c>
      <c r="C11" s="18">
        <f>-C6*Assumptions!B10</f>
        <v>-887652974.9240366</v>
      </c>
      <c r="D11" s="18">
        <f>-D6*Assumptions!B10</f>
        <v>-962747287.892595</v>
      </c>
      <c r="E11" s="18">
        <f>-E6*Assumptions!B10</f>
        <v>-1044194484.2508615</v>
      </c>
      <c r="F11" s="18">
        <f>-F6*Assumptions!B10</f>
        <v>-1132532009.85549</v>
      </c>
    </row>
    <row r="12" spans="1:6" x14ac:dyDescent="0.25">
      <c r="A12" t="s">
        <v>48</v>
      </c>
      <c r="B12" s="18">
        <f>-(B6-Assumptions!B29)*Assumptions!B11</f>
        <v>-90562343.02209309</v>
      </c>
      <c r="C12" s="18">
        <f>-(C6-B6)*Assumptions!B11</f>
        <v>-98223802.08569711</v>
      </c>
      <c r="D12" s="18">
        <f>-(D6-C6)*Assumptions!B11</f>
        <v>-106533410.84402566</v>
      </c>
      <c r="E12" s="18">
        <f>-(E6-D6)*Assumptions!B11</f>
        <v>-115546001.93708642</v>
      </c>
      <c r="F12" s="18">
        <f>-(F6-E6)*Assumptions!B11</f>
        <v>-125321046.77650887</v>
      </c>
    </row>
    <row r="13" spans="1:6" x14ac:dyDescent="0.25">
      <c r="A13" s="19" t="s">
        <v>49</v>
      </c>
      <c r="B13" s="20">
        <f>B9+B10+B11+B12</f>
        <v>1615615021.0357568</v>
      </c>
      <c r="C13" s="20">
        <f>C9+C10+C11+C12</f>
        <v>1752293997.4530282</v>
      </c>
      <c r="D13" s="20">
        <f>D9+D10+D11+D12</f>
        <v>1900535841.478758</v>
      </c>
      <c r="E13" s="20">
        <f>E9+E10+E11+E12</f>
        <v>2061318757.0096638</v>
      </c>
      <c r="F13" s="20">
        <f>F9+F10+F11+F12</f>
        <v>2235703702.7482734</v>
      </c>
    </row>
    <row r="14" spans="1:6" x14ac:dyDescent="0.25">
      <c r="A14" t="s">
        <v>50</v>
      </c>
      <c r="B14" s="21">
        <f>1/(1+Assumptions!$B$26)^(1-0.5*Assumptions!$B$32)</f>
        <v>0.9608760847938012</v>
      </c>
      <c r="C14" s="21">
        <f>1/(1+Assumptions!$B$26)^(2-0.5*Assumptions!$B$32)</f>
        <v>0.8871604103810683</v>
      </c>
      <c r="D14" s="21">
        <f>1/(1+Assumptions!$B$26)^(3-0.5*Assumptions!$B$32)</f>
        <v>0.8190999923953803</v>
      </c>
      <c r="E14" s="21">
        <f>1/(1+Assumptions!$B$26)^(4-0.5*Assumptions!$B$32)</f>
        <v>0.7562609756829941</v>
      </c>
      <c r="F14" s="21">
        <f>1/(1+Assumptions!$B$26)^(5-0.5*Assumptions!$B$32)</f>
        <v>0.6982427892209316</v>
      </c>
    </row>
    <row r="15" spans="1:6" x14ac:dyDescent="0.25">
      <c r="A15" s="19" t="s">
        <v>51</v>
      </c>
      <c r="B15" s="20">
        <f>B13*B14</f>
        <v>1552405835.9468927</v>
      </c>
      <c r="C15" s="20">
        <f>C13*C14</f>
        <v>1554565861.8887112</v>
      </c>
      <c r="D15" s="20">
        <f>D13*D14</f>
        <v>1556728893.3023984</v>
      </c>
      <c r="E15" s="20">
        <f>E13*E14</f>
        <v>1558894934.369785</v>
      </c>
      <c r="F15" s="20">
        <f>F13*F14</f>
        <v>1561063989.2785192</v>
      </c>
    </row>
    <row r="17" spans="1:2" x14ac:dyDescent="0.25">
      <c r="A17" s="22" t="s">
        <v>52</v>
      </c>
      <c r="B17" s="23">
        <f>SUM(B15:F15)</f>
        <v>7783659514.786306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2235703702.7482734</v>
      </c>
    </row>
    <row r="5" spans="1:2" x14ac:dyDescent="0.25">
      <c r="A5" t="s">
        <v>56</v>
      </c>
      <c r="B5" s="18">
        <f>IF(Assumptions!$B$33=0,B4,B4-Forecast!F11-Forecast!F10-Forecast!F12)</f>
        <v>3051662844.004394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0.17839578145721025</v>
      </c>
    </row>
    <row r="7" spans="1:2" x14ac:dyDescent="0.25">
      <c r="A7" t="s">
        <v>58</v>
      </c>
      <c r="B7" s="18">
        <f>-MAX(Forecast!F9,0)*B6</f>
        <v>-544403777.8000965</v>
      </c>
    </row>
    <row r="8" spans="1:2" x14ac:dyDescent="0.25">
      <c r="A8" t="s">
        <v>59</v>
      </c>
      <c r="B8" s="18">
        <f>IF(OR(Assumptions!$B$33=0,Assumptions!B12&lt;=0),B5,MAX(B5+B7,0))</f>
        <v>2507259066.2042975</v>
      </c>
    </row>
    <row r="9" spans="1:2" x14ac:dyDescent="0.25">
      <c r="A9" t="s">
        <v>60</v>
      </c>
      <c r="B9" s="18">
        <f>B8*(1+Assumptions!B12)/(Assumptions!B26-Assumptions!B12)</f>
        <v>44239369080.62864</v>
      </c>
    </row>
    <row r="10" spans="1:2" x14ac:dyDescent="0.25">
      <c r="A10" t="s">
        <v>61</v>
      </c>
      <c r="B10" s="18">
        <f>B9/(1+Assumptions!B26)^(5-0.5*Assumptions!B32)</f>
        <v>30889820460.232384</v>
      </c>
    </row>
    <row r="11" spans="1:2" x14ac:dyDescent="0.25">
      <c r="A11" t="s">
        <v>62</v>
      </c>
      <c r="B11" s="18">
        <f>Forecast!B17+B10</f>
        <v>38673479975.01869</v>
      </c>
    </row>
    <row r="12" spans="1:2" x14ac:dyDescent="0.25">
      <c r="A12" t="s">
        <v>63</v>
      </c>
      <c r="B12" s="18">
        <f>-Assumptions!B30</f>
        <v>-5229000000</v>
      </c>
    </row>
    <row r="13" spans="1:2" x14ac:dyDescent="0.25">
      <c r="A13" t="s">
        <v>64</v>
      </c>
      <c r="B13" s="18">
        <f>B11+B12</f>
        <v>33444479975.018692</v>
      </c>
    </row>
    <row r="14" spans="1:2" x14ac:dyDescent="0.25">
      <c r="A14" s="19" t="s">
        <v>65</v>
      </c>
      <c r="B14" s="24">
        <f>B13/Assumptions!B31</f>
        <v>37.19913393755116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4173917939.388384</v>
      </c>
    </row>
    <row r="18" spans="1:2" x14ac:dyDescent="0.25">
      <c r="A18" t="s">
        <v>60</v>
      </c>
      <c r="B18" s="18">
        <f>B17*Assumptions!B13</f>
        <v>41837576698.59058</v>
      </c>
    </row>
    <row r="19" spans="1:2" x14ac:dyDescent="0.25">
      <c r="A19" t="s">
        <v>61</v>
      </c>
      <c r="B19" s="18">
        <f>B18/(1+Assumptions!B26)^(5-0.5*Assumptions!B32)</f>
        <v>29212786248.268547</v>
      </c>
    </row>
    <row r="20" spans="1:2" x14ac:dyDescent="0.25">
      <c r="A20" t="s">
        <v>62</v>
      </c>
      <c r="B20" s="18">
        <f>Forecast!B17+B19</f>
        <v>36996445763.054855</v>
      </c>
    </row>
    <row r="21" spans="1:2" x14ac:dyDescent="0.25">
      <c r="A21" t="s">
        <v>63</v>
      </c>
      <c r="B21" s="18">
        <f>-Assumptions!B30</f>
        <v>-5229000000</v>
      </c>
    </row>
    <row r="22" spans="1:2" x14ac:dyDescent="0.25">
      <c r="A22" t="s">
        <v>64</v>
      </c>
      <c r="B22" s="18">
        <f>B20+B21</f>
        <v>31767445763.054855</v>
      </c>
    </row>
    <row r="23" spans="1:2" x14ac:dyDescent="0.25">
      <c r="A23" s="19" t="s">
        <v>65</v>
      </c>
      <c r="B23" s="25">
        <f>B22/Assumptions!B31</f>
        <v>35.33382700751977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2727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2777.3989371793823</v>
      </c>
    </row>
    <row r="29" spans="1:2" x14ac:dyDescent="0.25">
      <c r="A29" s="19" t="s">
        <v>73</v>
      </c>
      <c r="B29" s="12">
        <f>B28/B26-1</f>
        <v>0.018481458444951304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0.063092</v>
      </c>
      <c r="B5" s="31">
        <v>51.83187434668941</v>
      </c>
      <c r="C5" s="31">
        <v>55.5583039754085</v>
      </c>
      <c r="D5" s="31">
        <v>60.23886344294846</v>
      </c>
      <c r="E5" s="31">
        <v>66.30604240186321</v>
      </c>
      <c r="F5" s="31">
        <v>74.50023998253226</v>
      </c>
    </row>
    <row r="6" spans="1:6" x14ac:dyDescent="0.25">
      <c r="A6" s="30">
        <v>0.073092</v>
      </c>
      <c r="B6" s="31">
        <v>41.59885235573271</v>
      </c>
      <c r="C6" s="31">
        <v>43.743648787194296</v>
      </c>
      <c r="D6" s="31">
        <v>46.316090573995474</v>
      </c>
      <c r="E6" s="31">
        <v>49.46503783704255</v>
      </c>
      <c r="F6" s="31">
        <v>53.41750890416518</v>
      </c>
    </row>
    <row r="7" spans="1:6" x14ac:dyDescent="0.25">
      <c r="A7" s="30">
        <v>0.083092</v>
      </c>
      <c r="B7" s="31">
        <v>34.38816177322747</v>
      </c>
      <c r="C7" s="31">
        <v>35.68886419582907</v>
      </c>
      <c r="D7" s="32">
        <v>37.19891426211945</v>
      </c>
      <c r="E7" s="31">
        <v>38.977458635538156</v>
      </c>
      <c r="F7" s="31">
        <v>41.10824127780283</v>
      </c>
    </row>
    <row r="8" spans="1:6" x14ac:dyDescent="0.25">
      <c r="A8" s="30">
        <v>0.093092</v>
      </c>
      <c r="B8" s="31">
        <v>29.037919855462757</v>
      </c>
      <c r="C8" s="31">
        <v>29.850034739816447</v>
      </c>
      <c r="D8" s="31">
        <v>30.769501533813987</v>
      </c>
      <c r="E8" s="31">
        <v>31.821842944687</v>
      </c>
      <c r="F8" s="31">
        <v>33.04136867520235</v>
      </c>
    </row>
    <row r="9" spans="1:6" x14ac:dyDescent="0.25">
      <c r="A9" s="30">
        <v>0.103092</v>
      </c>
      <c r="B9" s="31">
        <v>24.91386752687452</v>
      </c>
      <c r="C9" s="31">
        <v>25.42651674319275</v>
      </c>
      <c r="D9" s="31">
        <v>25.994840377758486</v>
      </c>
      <c r="E9" s="31">
        <v>26.630263980203893</v>
      </c>
      <c r="F9" s="31">
        <v>27.347569015579108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8445000000</v>
      </c>
      <c r="C5" s="18">
        <v>7523000000</v>
      </c>
      <c r="D5" s="18">
        <v>7097000000</v>
      </c>
      <c r="E5" s="18">
        <v>6619000000</v>
      </c>
      <c r="F5" s="8" t="s">
        <v>84</v>
      </c>
    </row>
    <row r="6" spans="1:6" x14ac:dyDescent="0.25">
      <c r="A6" t="s">
        <v>44</v>
      </c>
      <c r="B6" s="18">
        <v>2045000000</v>
      </c>
      <c r="C6" s="18">
        <v>1793000000</v>
      </c>
      <c r="D6" s="18">
        <v>1694000000</v>
      </c>
      <c r="E6" s="18">
        <v>1265000000</v>
      </c>
      <c r="F6" s="8" t="s">
        <v>85</v>
      </c>
    </row>
    <row r="7" spans="1:6" x14ac:dyDescent="0.25">
      <c r="A7" t="s">
        <v>86</v>
      </c>
      <c r="B7" s="18">
        <v>876000000</v>
      </c>
      <c r="C7" s="18">
        <v>758000000</v>
      </c>
      <c r="D7" s="18">
        <v>714000000</v>
      </c>
      <c r="E7" s="18">
        <v>674000000</v>
      </c>
      <c r="F7" s="8" t="s">
        <v>87</v>
      </c>
    </row>
    <row r="8" spans="1:6" x14ac:dyDescent="0.25">
      <c r="A8" t="s">
        <v>88</v>
      </c>
      <c r="B8" s="18">
        <v>726000000</v>
      </c>
      <c r="C8" s="18">
        <v>651000000</v>
      </c>
      <c r="D8" s="18">
        <v>640000000</v>
      </c>
      <c r="E8" s="18">
        <v>627000000</v>
      </c>
      <c r="F8" s="8" t="s">
        <v>89</v>
      </c>
    </row>
    <row r="9" spans="1:6" x14ac:dyDescent="0.25">
      <c r="A9" t="s">
        <v>90</v>
      </c>
      <c r="B9" s="18">
        <v>163000000</v>
      </c>
      <c r="C9" s="18">
        <v>54000000</v>
      </c>
      <c r="D9" s="18">
        <v>32000000</v>
      </c>
      <c r="E9" s="18">
        <v>-30000000</v>
      </c>
      <c r="F9" s="8" t="s">
        <v>91</v>
      </c>
    </row>
    <row r="10" spans="1:6" x14ac:dyDescent="0.25">
      <c r="A10" t="s">
        <v>92</v>
      </c>
      <c r="B10" s="18">
        <v>5565000000</v>
      </c>
      <c r="C10" s="18">
        <v>5016000000</v>
      </c>
      <c r="D10" s="18">
        <v>4266000000</v>
      </c>
      <c r="E10" s="18">
        <v>4099000000</v>
      </c>
      <c r="F10" s="8" t="s">
        <v>93</v>
      </c>
    </row>
    <row r="11" spans="1:6" x14ac:dyDescent="0.25">
      <c r="A11" t="s">
        <v>94</v>
      </c>
      <c r="B11" s="18">
        <v>336000000</v>
      </c>
      <c r="C11" s="18">
        <v>391000000</v>
      </c>
      <c r="D11" s="18">
        <v>312000000</v>
      </c>
      <c r="E11" s="18">
        <v>202000000</v>
      </c>
      <c r="F11" s="8" t="s">
        <v>95</v>
      </c>
    </row>
    <row r="12" spans="1:6" x14ac:dyDescent="0.25">
      <c r="A12" t="s">
        <v>32</v>
      </c>
      <c r="B12" s="34">
        <v>899066092</v>
      </c>
      <c r="C12" s="34">
        <v>922000000</v>
      </c>
      <c r="D12" s="34">
        <v>921000000</v>
      </c>
      <c r="E12" s="34">
        <v>921000000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