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<sst xmlns="http://schemas.openxmlformats.org/spreadsheetml/2006/main" count="121" uniqueCount="108">
  <si>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Extra Space Storage Inc. (EXR)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</si>
  <si>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</si>
  <si>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</si>
  <si>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</si>
  <si>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</si>
  <si>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</si>
  <si>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</si>
  <si>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</si>
  <si>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</si>
  <si>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</si>
  <si>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</si>
  <si>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</si>
  <si>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</si>
  <si>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</si>
  <si>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</si>
  <si>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</si>
  <si>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</si>
  <si>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</si>
  <si>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</si>
  <si>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</si>
  <si>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</si>
  <si>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</si>
  <si>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</si>
  <si>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</si>
  <si>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</si>
  <si>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</si>
  <si>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</si>
  <si>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</si>
  <si>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</si>
  <si>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</si>
  <si>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</si>
  <si>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</si>
  <si>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</si>
  <si>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</si>
  <si>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</si>
  <si>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</si>
  <si>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</si>
  <si>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</si>
  <si>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</si>
  <si>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</si>
  <si>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</si>
  <si>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</si>
  <si>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</si>
  <si>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</si>
  <si>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</si>
  <si>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</si>
  <si>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</si>
  <si>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</si>
  <si>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</si>
  <si>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</si>
  <si>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</si>
  <si>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</si>
  <si>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</si>
  <si>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</si>
  <si>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</si>
  <si>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</si>
  <si>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</si>
  <si>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</si>
  <si>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</si>
  <si>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</si>
  <si>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</si>
  <si>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</si>
  <si>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</si>
  <si>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</si>
  <si>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</si>
  <si>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</si>
  <si>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</si>
  <si>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</si>
  <si>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</si>
  <si>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</si>
  <si>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</si>
  <si>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</si>
  <si>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</si>
  <si>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</si>
  <si>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</si>
  <si>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</si>
  <si>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</si>
  <si>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</si>
  <si>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</si>
  <si>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</si>
  <si>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</si>
  <si>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</si>
  <si>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</si>
  <si>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</si>
  <si>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</si>
  <si>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</si>
  <si>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</si>
  <si>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</si>
  <si>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</si>
  <si>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</si>
  <si>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</si>
  <si>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</si>
  <si>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</si>
  <si>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</si>
  <si>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</si>
  <si>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</si>
  <si>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</si>
  <si>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</si>
  <si>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</si>
  <si>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</si>
  <si>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</si>
  <si>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</si>
  <si>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</si>
  <si>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</si>
  <si>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</si>
  <si>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0.77% of revenue, which is too low to be the company's real investment - property trusts and similar structures invest through lines that are not reported as capex. Capex has been set to 19.99%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</si>
  <si>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21.4x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</si>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</sst>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-0.11652754281071853</v>
      </c>
    </row>
    <row r="7" spans="1:2" x14ac:dyDescent="0.25">
      <c r="A7" t="s">
        <v>4</v>
      </c>
      <c r="B7" s="5">
        <v>0.47335779555991275</v>
      </c>
    </row>
    <row r="8" spans="1:2" x14ac:dyDescent="0.25">
      <c r="A8" t="s">
        <v>5</v>
      </c>
      <c r="B8" s="5">
        <v>0.030289049679807813</v>
      </c>
    </row>
    <row r="9" spans="1:2" x14ac:dyDescent="0.25">
      <c r="A9" t="s">
        <v>6</v>
      </c>
      <c r="B9" s="5">
        <v>0.1999154137857255</v>
      </c>
    </row>
    <row r="10" spans="1:3" x14ac:dyDescent="0.25">
      <c r="A10" t="s">
        <v>7</v>
      </c>
      <c r="B10" s="5">
        <v>0.1999154137857255</v>
      </c>
      <c r="C10" s="6" t="s">
        <v>8</v>
      </c>
    </row>
    <row r="11" spans="1:2" x14ac:dyDescent="0.25">
      <c r="A11" t="s">
        <v>9</v>
      </c>
      <c r="B11" s="5">
        <v>-0.06517513140613204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0.085579641273697</v>
      </c>
      <c r="C14" s="6" t="s">
        <v>13</v>
      </c>
    </row>
    <row r="15" spans="1:3" x14ac:dyDescent="0.25">
      <c r="A15" t="s">
        <v>14</v>
      </c>
      <c r="B15" s="5">
        <v>0.1999154137857255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1.1112199999999999</v>
      </c>
      <c r="C19" s="6" t="s">
        <v>21</v>
      </c>
    </row>
    <row r="20" spans="1:2" x14ac:dyDescent="0.25">
      <c r="A20" t="s">
        <v>22</v>
      </c>
      <c r="B20" s="9">
        <f>B17+B19*B18</f>
        <v>0.09594460599999999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33396711424</v>
      </c>
    </row>
    <row r="23" spans="1:2" x14ac:dyDescent="0.25">
      <c r="A23" t="s">
        <v>26</v>
      </c>
      <c r="B23" s="10">
        <v>13991757000</v>
      </c>
    </row>
    <row r="24" spans="1:2" x14ac:dyDescent="0.25">
      <c r="A24" t="s">
        <v>27</v>
      </c>
      <c r="B24" s="9">
        <f>B22/(B22+B23)</f>
        <v>0.7047434224965616</v>
      </c>
    </row>
    <row r="25" spans="1:2" x14ac:dyDescent="0.25">
      <c r="A25" t="s">
        <v>28</v>
      </c>
      <c r="B25" s="9">
        <f>1-B24</f>
        <v>0.29525657750343837</v>
      </c>
    </row>
    <row r="26" spans="1:2" x14ac:dyDescent="0.25">
      <c r="A26" t="s">
        <v>29</v>
      </c>
      <c r="B26" s="11">
        <f>B24*B20+B25*B21*(1-B8)</f>
        <v>0.085579641273697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3377542000</v>
      </c>
      <c r="C29" s="6" t="s">
        <v>32</v>
      </c>
    </row>
    <row r="30" spans="1:2" x14ac:dyDescent="0.25">
      <c r="A30" t="s">
        <v>33</v>
      </c>
      <c r="B30" s="10">
        <v>13852837000</v>
      </c>
    </row>
    <row r="31" spans="1:2" x14ac:dyDescent="0.25">
      <c r="A31" t="s">
        <v>34</v>
      </c>
      <c r="B31" s="12">
        <v>211850436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-0.11652754281071853</v>
      </c>
      <c r="C5" s="5">
        <v>0.026509228912522165</v>
      </c>
      <c r="D5" s="5">
        <v>0.026320575298456893</v>
      </c>
      <c r="E5" s="5">
        <v>0.026131921684391622</v>
      </c>
      <c r="F5" s="5">
        <v>0.025943268070326354</v>
      </c>
      <c r="G5" s="5">
        <v>0.025754614456261083</v>
      </c>
      <c r="H5" s="5">
        <v>0.025565960842195812</v>
      </c>
      <c r="I5" s="5">
        <v>0.025377307228130544</v>
      </c>
      <c r="J5" s="5">
        <v>0.025188653614065273</v>
      </c>
      <c r="K5" s="5">
        <v>0.025</v>
      </c>
    </row>
    <row r="6" spans="1:11" x14ac:dyDescent="0.25">
      <c r="A6" t="s">
        <v>50</v>
      </c>
      <c r="B6" s="18">
        <f>Assumptions!B29*(1+B5)</f>
        <v>2983965330</v>
      </c>
      <c r="C6" s="18">
        <f>B6*(1+C5)</f>
        <v>3063067949.9999995</v>
      </c>
      <c r="D6" s="18">
        <f>C6*(1+D5)</f>
        <v>3143689660.622265</v>
      </c>
      <c r="E6" s="18">
        <f>D6*(1+E5)</f>
        <v>3225840312.6336775</v>
      </c>
      <c r="F6" s="18">
        <f>E6*(1+F5)</f>
        <v>3309529152.616399</v>
      </c>
      <c r="G6" s="18">
        <f>F6*(1+G5)</f>
        <v>3394764799.9737906</v>
      </c>
      <c r="H6" s="18">
        <f>G6*(1+H5)</f>
        <v>3481555223.9183855</v>
      </c>
      <c r="I6" s="18">
        <f>H6*(1+I5)</f>
        <v>3569907720.467465</v>
      </c>
      <c r="J6" s="18">
        <f>I6*(1+J5)</f>
        <v>3659828889.4724975</v>
      </c>
      <c r="K6" s="18">
        <f>J6*(1+K5)</f>
        <v>3751324611.7093096</v>
      </c>
    </row>
    <row r="7" spans="1:11" x14ac:dyDescent="0.25">
      <c r="A7" t="s">
        <v>4</v>
      </c>
      <c r="B7" s="9">
        <f>Assumptions!B7</f>
        <v>0.47335779555991275</v>
      </c>
      <c r="C7" s="9">
        <f>Assumptions!B7</f>
        <v>0.47335779555991275</v>
      </c>
      <c r="D7" s="9">
        <f>Assumptions!B7</f>
        <v>0.47335779555991275</v>
      </c>
      <c r="E7" s="9">
        <f>Assumptions!B7</f>
        <v>0.47335779555991275</v>
      </c>
      <c r="F7" s="9">
        <f>Assumptions!B7</f>
        <v>0.47335779555991275</v>
      </c>
      <c r="G7" s="9">
        <f>Assumptions!B7</f>
        <v>0.47335779555991275</v>
      </c>
      <c r="H7" s="9">
        <f>Assumptions!B7</f>
        <v>0.47335779555991275</v>
      </c>
      <c r="I7" s="9">
        <f>Assumptions!B7</f>
        <v>0.47335779555991275</v>
      </c>
      <c r="J7" s="9">
        <f>Assumptions!B7</f>
        <v>0.47335779555991275</v>
      </c>
      <c r="K7" s="9">
        <f>Assumptions!B7</f>
        <v>0.47335779555991275</v>
      </c>
    </row>
    <row r="8" spans="1:11" x14ac:dyDescent="0.25">
      <c r="A8" t="s">
        <v>51</v>
      </c>
      <c r="B8" s="18">
        <f>B6*B7</f>
        <v>1412483250.6360075</v>
      </c>
      <c r="C8" s="18">
        <f>C6*C7</f>
        <v>1449927092.462221</v>
      </c>
      <c r="D8" s="18">
        <f>D6*D7</f>
        <v>1488090007.6766455</v>
      </c>
      <c r="E8" s="18">
        <f>E6*E7</f>
        <v>1526976659.2165773</v>
      </c>
      <c r="F8" s="18">
        <f>F6*F7</f>
        <v>1566591424.0237646</v>
      </c>
      <c r="G8" s="18">
        <f>G6*G7</f>
        <v>1606938382.1599817</v>
      </c>
      <c r="H8" s="18">
        <f>H6*H7</f>
        <v>1648021305.9141054</v>
      </c>
      <c r="I8" s="18">
        <f>I6*I7</f>
        <v>1689843648.9127924</v>
      </c>
      <c r="J8" s="18">
        <f>J6*J7</f>
        <v>1732408535.247185</v>
      </c>
      <c r="K8" s="18">
        <f>K6*K7</f>
        <v>1775718748.6283646</v>
      </c>
    </row>
    <row r="9" spans="1:11" x14ac:dyDescent="0.25">
      <c r="A9" t="s">
        <v>52</v>
      </c>
      <c r="B9" s="18">
        <f>B8*(1-Assumptions!B8)</f>
        <v>1369700475.285597</v>
      </c>
      <c r="C9" s="18">
        <f>C8*(1-Assumptions!B8)</f>
        <v>1406010178.7265334</v>
      </c>
      <c r="D9" s="18">
        <f>D8*(1-Assumptions!B8)</f>
        <v>1443017175.506102</v>
      </c>
      <c r="E9" s="18">
        <f>E8*(1-Assumptions!B8)</f>
        <v>1480725987.3256593</v>
      </c>
      <c r="F9" s="18">
        <f>F8*(1-Assumptions!B8)</f>
        <v>1519140858.5535479</v>
      </c>
      <c r="G9" s="18">
        <f>G8*(1-Assumptions!B8)</f>
        <v>1558265745.670348</v>
      </c>
      <c r="H9" s="18">
        <f>H8*(1-Assumptions!B8)</f>
        <v>1598104306.7058914</v>
      </c>
      <c r="I9" s="18">
        <f>I8*(1-Assumptions!B8)</f>
        <v>1638659890.6797652</v>
      </c>
      <c r="J9" s="18">
        <f>J8*(1-Assumptions!B8)</f>
        <v>1679935527.05736</v>
      </c>
      <c r="K9" s="18">
        <f>K8*(1-Assumptions!B8)</f>
        <v>1721933915.2337937</v>
      </c>
    </row>
    <row r="10" spans="1:11" x14ac:dyDescent="0.25">
      <c r="A10" t="s">
        <v>53</v>
      </c>
      <c r="B10" s="18">
        <f>B6*Assumptions!B9</f>
        <v>596540663.6692089</v>
      </c>
      <c r="C10" s="18">
        <f>C6*Assumptions!B9</f>
        <v>612354496.6780438</v>
      </c>
      <c r="D10" s="18">
        <f>D6*Assumptions!B9</f>
        <v>628472019.3172071</v>
      </c>
      <c r="E10" s="18">
        <f>E6*Assumptions!B9</f>
        <v>644895200.9068358</v>
      </c>
      <c r="F10" s="18">
        <f>F6*Assumptions!B9</f>
        <v>661625889.9812288</v>
      </c>
      <c r="G10" s="18">
        <f>G6*Assumptions!B9</f>
        <v>678665809.6919761</v>
      </c>
      <c r="H10" s="18">
        <f>H6*Assumptions!B9</f>
        <v>696016553.2074982</v>
      </c>
      <c r="I10" s="18">
        <f>I6*Assumptions!B9</f>
        <v>713679579.1141093</v>
      </c>
      <c r="J10" s="18">
        <f>J6*Assumptions!B9</f>
        <v>731656206.8238466</v>
      </c>
      <c r="K10" s="18">
        <f>K6*Assumptions!B9</f>
        <v>749947611.9944427</v>
      </c>
    </row>
    <row r="11" spans="1:11" x14ac:dyDescent="0.25">
      <c r="A11" t="s">
        <v>54</v>
      </c>
      <c r="B11" s="18">
        <f>-B6*B19</f>
        <v>-596540663.6692089</v>
      </c>
      <c r="C11" s="18">
        <f>-C6*C19</f>
        <v>-657991330.061176</v>
      </c>
      <c r="D11" s="18">
        <f>-D6*D19</f>
        <v>-722148061.502359</v>
      </c>
      <c r="E11" s="18">
        <f>-E6*E19</f>
        <v>-789081166.681693</v>
      </c>
      <c r="F11" s="18">
        <f>-F6*F19</f>
        <v>-858861384.5638065</v>
      </c>
      <c r="G11" s="18">
        <f>-G6*G19</f>
        <v>-931559833.0702785</v>
      </c>
      <c r="H11" s="18">
        <f>-H6*H19</f>
        <v>-1007247955.7001591</v>
      </c>
      <c r="I11" s="18">
        <f>-I6*I19</f>
        <v>-1085997466.0956616</v>
      </c>
      <c r="J11" s="18">
        <f>-J6*J19</f>
        <v>-1167880290.562191</v>
      </c>
      <c r="K11" s="18">
        <f>-K6*K19</f>
        <v>-1252968508.555221</v>
      </c>
    </row>
    <row r="12" spans="1:11" x14ac:dyDescent="0.25">
      <c r="A12" t="s">
        <v>55</v>
      </c>
      <c r="B12" s="18">
        <f>-(B6-Assumptions!B29)*Assumptions!B11</f>
        <v>-25651411.185637865</v>
      </c>
      <c r="C12" s="18">
        <f>-(C6-B6)*Assumptions!B11</f>
        <v>5155523.653069298</v>
      </c>
      <c r="D12" s="18">
        <f>-(D6-C6)*Assumptions!B11</f>
        <v>5254530.583993295</v>
      </c>
      <c r="E12" s="18">
        <f>-(E6-D6)*Assumptions!B11</f>
        <v>5354179.539943243</v>
      </c>
      <c r="F12" s="18">
        <f>-(F6-E6)*Assumptions!B11</f>
        <v>5454431.14310062</v>
      </c>
      <c r="G12" s="18">
        <f>-(G6-F6)*Assumptions!B11</f>
        <v>5555244.517004744</v>
      </c>
      <c r="H12" s="18">
        <f>-(H6-G6)*Assumptions!B11</f>
        <v>5656577.285382879</v>
      </c>
      <c r="I12" s="18">
        <f>-(I6-H6)*Assumptions!B11</f>
        <v>5758385.572646079</v>
      </c>
      <c r="J12" s="18">
        <f>-(J6-I6)*Assumptions!B11</f>
        <v>5860624.006096004</v>
      </c>
      <c r="K12" s="18">
        <f>-(K6-J6)*Assumptions!B11</f>
        <v>5963245.719883187</v>
      </c>
    </row>
    <row r="13" spans="1:11" x14ac:dyDescent="0.25">
      <c r="A13" s="19" t="s">
        <v>56</v>
      </c>
      <c r="B13" s="20">
        <f>B9+B10+B11+B12</f>
        <v>1344049064.099959</v>
      </c>
      <c r="C13" s="20">
        <f>C9+C10+C11+C12</f>
        <v>1365528868.9964707</v>
      </c>
      <c r="D13" s="20">
        <f>D9+D10+D11+D12</f>
        <v>1354595663.9049432</v>
      </c>
      <c r="E13" s="20">
        <f>E9+E10+E11+E12</f>
        <v>1341894201.0907454</v>
      </c>
      <c r="F13" s="20">
        <f>F9+F10+F11+F12</f>
        <v>1327359795.114071</v>
      </c>
      <c r="G13" s="20">
        <f>G9+G10+G11+G12</f>
        <v>1310926966.8090498</v>
      </c>
      <c r="H13" s="20">
        <f>H9+H10+H11+H12</f>
        <v>1292529481.4986136</v>
      </c>
      <c r="I13" s="20">
        <f>I9+I10+I11+I12</f>
        <v>1272100389.2708592</v>
      </c>
      <c r="J13" s="20">
        <f>J9+J10+J11+J12</f>
        <v>1249572067.3251114</v>
      </c>
      <c r="K13" s="20">
        <f>K9+K10+K11+K12</f>
        <v>1224876264.3928983</v>
      </c>
    </row>
    <row r="14" spans="1:11" x14ac:dyDescent="0.25">
      <c r="A14" t="s">
        <v>57</v>
      </c>
      <c r="B14" s="21">
        <f>1/(1+Assumptions!$B$26)^(1-0.5*Assumptions!$B$32)</f>
        <v>0.9597743848086774</v>
      </c>
      <c r="C14" s="21">
        <f>1/(1+Assumptions!$B$26)^(2-0.5*Assumptions!$B$32)</f>
        <v>0.8841123657059248</v>
      </c>
      <c r="D14" s="21">
        <f>1/(1+Assumptions!$B$26)^(3-0.5*Assumptions!$B$32)</f>
        <v>0.8144150204112219</v>
      </c>
      <c r="E14" s="21">
        <f>1/(1+Assumptions!$B$26)^(4-0.5*Assumptions!$B$32)</f>
        <v>0.7502121350172698</v>
      </c>
      <c r="F14" s="21">
        <f>1/(1+Assumptions!$B$26)^(5-0.5*Assumptions!$B$32)</f>
        <v>0.6910705640509759</v>
      </c>
      <c r="G14" s="21">
        <f>1/(1+Assumptions!$B$26)^(6-0.5*Assumptions!$B$32)</f>
        <v>0.636591308252752</v>
      </c>
      <c r="H14" s="21">
        <f>1/(1+Assumptions!$B$26)^(7-0.5*Assumptions!$B$32)</f>
        <v>0.5864068227236164</v>
      </c>
      <c r="I14" s="21">
        <f>1/(1+Assumptions!$B$26)^(8-0.5*Assumptions!$B$32)</f>
        <v>0.5401785372794876</v>
      </c>
      <c r="J14" s="21">
        <f>1/(1+Assumptions!$B$26)^(9-0.5*Assumptions!$B$32)</f>
        <v>0.4975945722837091</v>
      </c>
      <c r="K14" s="21">
        <f>1/(1+Assumptions!$B$26)^(10-0.5*Assumptions!$B$32)</f>
        <v>0.4583676345476484</v>
      </c>
    </row>
    <row r="15" spans="1:11" x14ac:dyDescent="0.25">
      <c r="A15" s="19" t="s">
        <v>58</v>
      </c>
      <c r="B15" s="20">
        <f>B13*B14</f>
        <v>1289983863.6492167</v>
      </c>
      <c r="C15" s="20">
        <f>C13*C14</f>
        <v>1207280958.8082056</v>
      </c>
      <c r="D15" s="20">
        <f>D13*D14</f>
        <v>1103203055.2680972</v>
      </c>
      <c r="E15" s="20">
        <f>E13*E14</f>
        <v>1006705313.5675818</v>
      </c>
      <c r="F15" s="20">
        <f>F13*F14</f>
        <v>917299282.3080688</v>
      </c>
      <c r="G15" s="20">
        <f>G13*G14</f>
        <v>834524712.824785</v>
      </c>
      <c r="H15" s="20">
        <f>H13*H14</f>
        <v>757948106.5222054</v>
      </c>
      <c r="I15" s="20">
        <f>I13*I14</f>
        <v>687161327.5489995</v>
      </c>
      <c r="J15" s="20">
        <f>J13*J14</f>
        <v>621780278.378309</v>
      </c>
      <c r="K15" s="20">
        <f>K13*K14</f>
        <v>561443635.9233328</v>
      </c>
    </row>
    <row r="17" spans="1:2" x14ac:dyDescent="0.25">
      <c r="A17" s="22" t="s">
        <v>59</v>
      </c>
      <c r="B17" s="23">
        <f>SUM(B15:K15)</f>
        <v>8987330534.798801</v>
      </c>
    </row>
    <row r="19" spans="1:11" x14ac:dyDescent="0.25">
      <c r="A19" t="s">
        <v>7</v>
      </c>
      <c r="B19" s="9">
        <f>Assumptions!$B$10+($B$20-Assumptions!$B$10)*0/9</f>
        <v>0.1999154137857255</v>
      </c>
      <c r="C19" s="9">
        <f>Assumptions!$B$10+($B$20-Assumptions!$B$10)*1/9</f>
        <v>0.21481447385493882</v>
      </c>
      <c r="D19" s="9">
        <f>Assumptions!$B$10+($B$20-Assumptions!$B$10)*2/9</f>
        <v>0.22971353392415217</v>
      </c>
      <c r="E19" s="9">
        <f>Assumptions!$B$10+($B$20-Assumptions!$B$10)*3/9</f>
        <v>0.2446125939933655</v>
      </c>
      <c r="F19" s="9">
        <f>Assumptions!$B$10+($B$20-Assumptions!$B$10)*4/9</f>
        <v>0.2595116540625788</v>
      </c>
      <c r="G19" s="9">
        <f>Assumptions!$B$10+($B$20-Assumptions!$B$10)*5/9</f>
        <v>0.2744107141317922</v>
      </c>
      <c r="H19" s="9">
        <f>Assumptions!$B$10+($B$20-Assumptions!$B$10)*6/9</f>
        <v>0.28930977420100545</v>
      </c>
      <c r="I19" s="9">
        <f>Assumptions!$B$10+($B$20-Assumptions!$B$10)*7/9</f>
        <v>0.30420883427021883</v>
      </c>
      <c r="J19" s="9">
        <f>Assumptions!$B$10+($B$20-Assumptions!$B$10)*8/9</f>
        <v>0.31910789433943215</v>
      </c>
      <c r="K19" s="9">
        <f>Assumptions!$B$10+($B$20-Assumptions!$B$10)*9/9</f>
        <v>0.3340069544086455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0.3340069544086455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1224876264.3928983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1721933915.2337937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0.2921255526188304</v>
      </c>
    </row>
    <row r="7" spans="1:2" x14ac:dyDescent="0.25">
      <c r="A7" t="s">
        <v>66</v>
      </c>
      <c r="B7" s="18">
        <f>-MAX(B5,0)*B6</f>
        <v>-503020896.56077826</v>
      </c>
    </row>
    <row r="8" spans="1:2" x14ac:dyDescent="0.25">
      <c r="A8" t="s">
        <v>67</v>
      </c>
      <c r="B8" s="18">
        <f>IF(OR(Assumptions!$B$33=0,Assumptions!B12&lt;=0),B5,MAX(B5+B7,0))</f>
        <v>1218913018.6730156</v>
      </c>
    </row>
    <row r="9" spans="1:2" x14ac:dyDescent="0.25">
      <c r="A9" t="s">
        <v>68</v>
      </c>
      <c r="B9" s="18">
        <f>B8*(1+Assumptions!B12)/(Assumptions!B26-Assumptions!B12)</f>
        <v>20623856758.99191</v>
      </c>
    </row>
    <row r="10" spans="1:2" x14ac:dyDescent="0.25">
      <c r="A10" t="s">
        <v>69</v>
      </c>
      <c r="B10" s="18">
        <f>B9/(1+Assumptions!B26)^(10-0.5*Assumptions!B32)</f>
        <v>9453308437.868652</v>
      </c>
    </row>
    <row r="11" spans="1:2" x14ac:dyDescent="0.25">
      <c r="A11" t="s">
        <v>70</v>
      </c>
      <c r="B11" s="18">
        <f>Forecast!B17+B10</f>
        <v>18440638972.667454</v>
      </c>
    </row>
    <row r="12" spans="1:2" x14ac:dyDescent="0.25">
      <c r="A12" t="s">
        <v>71</v>
      </c>
      <c r="B12" s="18">
        <f>-Assumptions!B30</f>
        <v>-13852837000</v>
      </c>
    </row>
    <row r="13" spans="1:2" x14ac:dyDescent="0.25">
      <c r="A13" t="s">
        <v>72</v>
      </c>
      <c r="B13" s="18">
        <f>B11+B12</f>
        <v>4587801972.667454</v>
      </c>
    </row>
    <row r="14" spans="1:2" x14ac:dyDescent="0.25">
      <c r="A14" s="19" t="s">
        <v>73</v>
      </c>
      <c r="B14" s="24">
        <f>B13/Assumptions!B31</f>
        <v>21.655853343003994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2525666360.6228075</v>
      </c>
    </row>
    <row r="18" spans="1:2" x14ac:dyDescent="0.25">
      <c r="A18" t="s">
        <v>68</v>
      </c>
      <c r="B18" s="18">
        <f>B17*Assumptions!B13</f>
        <v>50513327212.45615</v>
      </c>
    </row>
    <row r="19" spans="1:2" x14ac:dyDescent="0.25">
      <c r="A19" t="s">
        <v>69</v>
      </c>
      <c r="B19" s="18">
        <f>B18/(1+Assumptions!B26)^(10-0.5*Assumptions!B32)</f>
        <v>23153674307.504883</v>
      </c>
    </row>
    <row r="20" spans="1:2" x14ac:dyDescent="0.25">
      <c r="A20" t="s">
        <v>70</v>
      </c>
      <c r="B20" s="18">
        <f>Forecast!B17+B19</f>
        <v>32141004842.303684</v>
      </c>
    </row>
    <row r="21" spans="1:2" x14ac:dyDescent="0.25">
      <c r="A21" t="s">
        <v>71</v>
      </c>
      <c r="B21" s="18">
        <f>-Assumptions!B30</f>
        <v>-13852837000</v>
      </c>
    </row>
    <row r="22" spans="1:2" x14ac:dyDescent="0.25">
      <c r="A22" t="s">
        <v>72</v>
      </c>
      <c r="B22" s="18">
        <f>B20+B21</f>
        <v>18288167842.303684</v>
      </c>
    </row>
    <row r="23" spans="1:2" x14ac:dyDescent="0.25">
      <c r="A23" s="19" t="s">
        <v>73</v>
      </c>
      <c r="B23" s="25">
        <f>B22/Assumptions!B31</f>
        <v>86.32584472143208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151.32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21.655853343003994</v>
      </c>
    </row>
    <row r="29" spans="1:2" x14ac:dyDescent="0.25">
      <c r="A29" s="19" t="s">
        <v>81</v>
      </c>
      <c r="B29" s="11">
        <f>B28/B26-1</f>
        <v>-0.8568870384416866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0.06558</v>
      </c>
      <c r="B5" s="31">
        <v>50.95180799427116</v>
      </c>
      <c r="C5" s="31">
        <v>49.40595352267289</v>
      </c>
      <c r="D5" s="31">
        <v>47.86009905107454</v>
      </c>
      <c r="E5" s="31">
        <v>46.314244579476245</v>
      </c>
      <c r="F5" s="31">
        <v>44.76839010787792</v>
      </c>
    </row>
    <row r="6" spans="1:6" x14ac:dyDescent="0.25">
      <c r="A6" s="30">
        <v>0.07558</v>
      </c>
      <c r="B6" s="31">
        <v>35.55569924363229</v>
      </c>
      <c r="C6" s="31">
        <v>34.28743696791747</v>
      </c>
      <c r="D6" s="31">
        <v>33.019174692202654</v>
      </c>
      <c r="E6" s="31">
        <v>31.750912416487832</v>
      </c>
      <c r="F6" s="31">
        <v>30.482650140772996</v>
      </c>
    </row>
    <row r="7" spans="1:6" x14ac:dyDescent="0.25">
      <c r="A7" s="30">
        <v>0.08558</v>
      </c>
      <c r="B7" s="31">
        <v>23.775451891629388</v>
      </c>
      <c r="C7" s="31">
        <v>22.715472686941663</v>
      </c>
      <c r="D7" s="32">
        <v>21.655493482253917</v>
      </c>
      <c r="E7" s="31">
        <v>20.595514277566192</v>
      </c>
      <c r="F7" s="31">
        <v>19.535535072878446</v>
      </c>
    </row>
    <row r="8" spans="1:6" x14ac:dyDescent="0.25">
      <c r="A8" s="30">
        <v>0.09558</v>
      </c>
      <c r="B8" s="31">
        <v>14.474959223800672</v>
      </c>
      <c r="C8" s="31">
        <v>13.576026990457887</v>
      </c>
      <c r="D8" s="31">
        <v>12.677094757115102</v>
      </c>
      <c r="E8" s="31">
        <v>11.778162523772314</v>
      </c>
      <c r="F8" s="31">
        <v>10.879230290429529</v>
      </c>
    </row>
    <row r="9" spans="1:6" x14ac:dyDescent="0.25">
      <c r="A9" s="30">
        <v>0.10558</v>
      </c>
      <c r="B9" s="31">
        <v>6.948627558544468</v>
      </c>
      <c r="C9" s="31">
        <v>6.177190556261057</v>
      </c>
      <c r="D9" s="31">
        <v>5.405753553977648</v>
      </c>
      <c r="E9" s="31">
        <v>4.634316551694219</v>
      </c>
      <c r="F9" s="31">
        <v>3.8628795494108092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3377542000</v>
      </c>
      <c r="C5" s="18">
        <v>3256902000</v>
      </c>
      <c r="D5" s="18">
        <v>2560244000</v>
      </c>
      <c r="E5" s="18">
        <v>1924170000</v>
      </c>
      <c r="F5" s="6" t="s">
        <v>91</v>
      </c>
    </row>
    <row r="6" spans="1:6" x14ac:dyDescent="0.25">
      <c r="A6" t="s">
        <v>51</v>
      </c>
      <c r="B6" s="18">
        <v>1489001000</v>
      </c>
      <c r="C6" s="18">
        <v>1401029000</v>
      </c>
      <c r="D6" s="18">
        <v>1236873000</v>
      </c>
      <c r="E6" s="18">
        <v>1037701000</v>
      </c>
      <c r="F6" s="6" t="s">
        <v>92</v>
      </c>
    </row>
    <row r="7" spans="1:6" x14ac:dyDescent="0.25">
      <c r="A7" t="s">
        <v>93</v>
      </c>
      <c r="B7" s="18">
        <v>715177000</v>
      </c>
      <c r="C7" s="18">
        <v>783023000</v>
      </c>
      <c r="D7" s="18">
        <v>506053000</v>
      </c>
      <c r="E7" s="18">
        <v>288316000</v>
      </c>
      <c r="F7" s="6" t="s">
        <v>94</v>
      </c>
    </row>
    <row r="8" spans="1:6" x14ac:dyDescent="0.25">
      <c r="A8" t="s">
        <v>95</v>
      </c>
      <c r="B8" s="18">
        <v>21139000</v>
      </c>
      <c r="C8" s="18">
        <v>20514000</v>
      </c>
      <c r="D8" s="18">
        <v>15994000</v>
      </c>
      <c r="E8" s="18">
        <v>22832000</v>
      </c>
      <c r="F8" s="6" t="s">
        <v>96</v>
      </c>
    </row>
    <row r="9" spans="1:6" x14ac:dyDescent="0.25">
      <c r="A9" t="s">
        <v>97</v>
      </c>
      <c r="B9" s="18">
        <v>13855000</v>
      </c>
      <c r="C9" s="18">
        <v>-48250000</v>
      </c>
      <c r="D9" s="18">
        <v>2368000</v>
      </c>
      <c r="E9" s="18">
        <v>-38007000</v>
      </c>
      <c r="F9" s="6" t="s">
        <v>98</v>
      </c>
    </row>
    <row r="10" spans="1:6" x14ac:dyDescent="0.25">
      <c r="A10" t="s">
        <v>99</v>
      </c>
      <c r="B10" s="18">
        <v>13991757000</v>
      </c>
      <c r="C10" s="18">
        <v>13027861000</v>
      </c>
      <c r="D10" s="18">
        <v>11253263000</v>
      </c>
      <c r="E10" s="18">
        <v>7560497000</v>
      </c>
      <c r="F10" s="6" t="s">
        <v>100</v>
      </c>
    </row>
    <row r="11" spans="1:6" x14ac:dyDescent="0.25">
      <c r="A11" t="s">
        <v>101</v>
      </c>
      <c r="B11" s="18">
        <v>138920000</v>
      </c>
      <c r="C11" s="18">
        <v>138222000</v>
      </c>
      <c r="D11" s="18">
        <v>99062000</v>
      </c>
      <c r="E11" s="18">
        <v>92868000</v>
      </c>
      <c r="F11" s="6" t="s">
        <v>102</v>
      </c>
    </row>
    <row r="12" spans="1:6" x14ac:dyDescent="0.25">
      <c r="A12" t="s">
        <v>34</v>
      </c>
      <c r="B12" s="34">
        <v>211850436</v>
      </c>
      <c r="C12" s="34">
        <v>211577595</v>
      </c>
      <c r="D12" s="34">
        <v>169220814</v>
      </c>
      <c r="E12" s="34">
        <v>141681331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