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<sst xmlns="http://schemas.openxmlformats.org/spreadsheetml/2006/main" count="112" uniqueCount="100">
  <si>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Extra Space Storage Inc. (EXR)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</si>
  <si>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</si>
  <si>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</si>
  <si>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</si>
  <si>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</si>
  <si>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</si>
  <si>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</si>
  <si>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</si>
  <si>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</si>
  <si>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</si>
  <si>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</si>
  <si>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</si>
  <si>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</si>
  <si>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</si>
  <si>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</si>
  <si>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</si>
  <si>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</si>
  <si>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</si>
  <si>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</si>
  <si>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</si>
  <si>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</si>
  <si>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</si>
  <si>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</si>
  <si>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</si>
  <si>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</si>
  <si>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</si>
  <si>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</si>
  <si>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</si>
  <si>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</si>
  <si>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</si>
  <si>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</si>
  <si>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</si>
  <si>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</si>
  <si>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</si>
  <si>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</si>
  <si>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</si>
  <si>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</si>
  <si>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</si>
  <si>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</si>
  <si>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</si>
  <si>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</si>
  <si>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</si>
  <si>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</si>
  <si>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</si>
  <si>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</si>
  <si>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</si>
  <si>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</si>
  <si>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</si>
  <si>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</si>
  <si>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</si>
  <si>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</si>
  <si>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</si>
  <si>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</si>
  <si>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</si>
  <si>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</si>
  <si>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</si>
  <si>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</si>
  <si>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</si>
  <si>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</si>
  <si>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</si>
  <si>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</si>
  <si>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</si>
  <si>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</si>
  <si>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</si>
  <si>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</si>
  <si>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</si>
  <si>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</si>
  <si>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</si>
  <si>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</si>
  <si>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</si>
  <si>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</si>
  <si>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</si>
  <si>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</si>
  <si>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</si>
  <si>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</si>
  <si>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</si>
  <si>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</si>
  <si>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</si>
  <si>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</si>
  <si>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</si>
  <si>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</si>
  <si>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</si>
  <si>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</si>
  <si>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</si>
  <si>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</si>
  <si>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</si>
  <si>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</si>
  <si>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</si>
  <si>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</si>
  <si>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</si>
  <si>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</si>
  <si>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</si>
  <si>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</si>
  <si>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</si>
  <si>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</si>
  <si>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</si>
  <si>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</si>
  <si>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</si>
  <si>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0.77% of revenue, which is too low to be the company's real investment - property trusts and similar structures invest through lines that are not reported as capex. Capex has been set to 19.99%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</si>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</sst>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0.20629197785498432</v>
      </c>
    </row>
    <row r="7" spans="1:2" x14ac:dyDescent="0.25">
      <c r="A7" t="s">
        <v>5</v>
      </c>
      <c r="B7" s="6">
        <v>0.47335779555991275</v>
      </c>
    </row>
    <row r="8" spans="1:2" x14ac:dyDescent="0.25">
      <c r="A8" t="s">
        <v>6</v>
      </c>
      <c r="B8" s="6">
        <v>0.030289049679807813</v>
      </c>
    </row>
    <row r="9" spans="1:2" x14ac:dyDescent="0.25">
      <c r="A9" t="s">
        <v>7</v>
      </c>
      <c r="B9" s="6">
        <v>0.1999154137857255</v>
      </c>
    </row>
    <row r="10" spans="1:2" x14ac:dyDescent="0.25">
      <c r="A10" t="s">
        <v>8</v>
      </c>
      <c r="B10" s="6">
        <v>0.1999154137857255</v>
      </c>
    </row>
    <row r="11" spans="1:2" x14ac:dyDescent="0.25">
      <c r="A11" t="s">
        <v>9</v>
      </c>
      <c r="B11" s="6">
        <v>0.0037228372799391267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19.973469935731142</v>
      </c>
    </row>
    <row r="14" spans="1:3" x14ac:dyDescent="0.25">
      <c r="A14" t="s">
        <v>12</v>
      </c>
      <c r="B14" s="6">
        <v>0.09150651818661824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1.1179199999999998</v>
      </c>
      <c r="C19" s="8" t="s">
        <v>19</v>
      </c>
    </row>
    <row r="20" spans="1:2" x14ac:dyDescent="0.25">
      <c r="A20" t="s">
        <v>20</v>
      </c>
      <c r="B20" s="10">
        <f>B17+B19*B18</f>
        <v>0.1114656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30172246016</v>
      </c>
    </row>
    <row r="23" spans="1:2" x14ac:dyDescent="0.25">
      <c r="A23" t="s">
        <v>24</v>
      </c>
      <c r="B23" s="11">
        <v>13991757000</v>
      </c>
    </row>
    <row r="24" spans="1:2" x14ac:dyDescent="0.25">
      <c r="A24" t="s">
        <v>25</v>
      </c>
      <c r="B24" s="10">
        <f>B22/(B22+B23)</f>
        <v>0.6831863951523828</v>
      </c>
    </row>
    <row r="25" spans="1:2" x14ac:dyDescent="0.25">
      <c r="A25" t="s">
        <v>26</v>
      </c>
      <c r="B25" s="10">
        <f>1-B24</f>
        <v>0.3168136048476172</v>
      </c>
    </row>
    <row r="26" spans="1:2" x14ac:dyDescent="0.25">
      <c r="A26" t="s">
        <v>27</v>
      </c>
      <c r="B26" s="12">
        <f>B24*B20+B25*B21*(1-B8)</f>
        <v>0.09150651818661824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3377542000</v>
      </c>
      <c r="C29" s="8" t="s">
        <v>30</v>
      </c>
    </row>
    <row r="30" spans="1:2" x14ac:dyDescent="0.25">
      <c r="A30" t="s">
        <v>31</v>
      </c>
      <c r="B30" s="11">
        <v>13852837000</v>
      </c>
    </row>
    <row r="31" spans="1:2" x14ac:dyDescent="0.25">
      <c r="A31" t="s">
        <v>32</v>
      </c>
      <c r="B31" s="13">
        <v>211850436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0.20629197785498432</v>
      </c>
      <c r="C5" s="10">
        <f>Assumptions!B6</f>
        <v>0.20629197785498432</v>
      </c>
      <c r="D5" s="10">
        <f>Assumptions!B6</f>
        <v>0.20629197785498432</v>
      </c>
      <c r="E5" s="10">
        <f>Assumptions!B6</f>
        <v>0.20629197785498432</v>
      </c>
      <c r="F5" s="10">
        <f>Assumptions!B6</f>
        <v>0.20629197785498432</v>
      </c>
    </row>
    <row r="6" spans="1:6" x14ac:dyDescent="0.25">
      <c r="A6" t="s">
        <v>43</v>
      </c>
      <c r="B6" s="18">
        <f>Assumptions!B29*(1+B5)</f>
        <v>4074301819.4682794</v>
      </c>
      <c r="C6" s="18">
        <f>B6*(1+C5)</f>
        <v>4914797600.184552</v>
      </c>
      <c r="D6" s="18">
        <f>C6*(1+D5)</f>
        <v>5928680917.8835535</v>
      </c>
      <c r="E6" s="18">
        <f>D6*(1+E5)</f>
        <v>7151720230.504856</v>
      </c>
      <c r="F6" s="18">
        <f>E6*(1+F5)</f>
        <v>8627062741.921207</v>
      </c>
    </row>
    <row r="7" spans="1:6" x14ac:dyDescent="0.25">
      <c r="A7" t="s">
        <v>5</v>
      </c>
      <c r="B7" s="10">
        <f>Assumptions!B7</f>
        <v>0.47335779555991275</v>
      </c>
      <c r="C7" s="10">
        <f>Assumptions!B7</f>
        <v>0.47335779555991275</v>
      </c>
      <c r="D7" s="10">
        <f>Assumptions!B7</f>
        <v>0.47335779555991275</v>
      </c>
      <c r="E7" s="10">
        <f>Assumptions!B7</f>
        <v>0.47335779555991275</v>
      </c>
      <c r="F7" s="10">
        <f>Assumptions!B7</f>
        <v>0.47335779555991275</v>
      </c>
    </row>
    <row r="8" spans="1:6" x14ac:dyDescent="0.25">
      <c r="A8" t="s">
        <v>44</v>
      </c>
      <c r="B8" s="18">
        <f>B6*B7</f>
        <v>1928602527.7092464</v>
      </c>
      <c r="C8" s="18">
        <f>C6*C7</f>
        <v>2326457757.646509</v>
      </c>
      <c r="D8" s="18">
        <f>D6*D7</f>
        <v>2806387329.867479</v>
      </c>
      <c r="E8" s="18">
        <f>E6*E7</f>
        <v>3385322522.77301</v>
      </c>
      <c r="F8" s="18">
        <f>F6*F7</f>
        <v>4083687401.672879</v>
      </c>
    </row>
    <row r="9" spans="1:6" x14ac:dyDescent="0.25">
      <c r="A9" t="s">
        <v>45</v>
      </c>
      <c r="B9" s="18">
        <f>B8*(1-Assumptions!B8)</f>
        <v>1870186989.934858</v>
      </c>
      <c r="C9" s="18">
        <f>C8*(1-Assumptions!B8)</f>
        <v>2255991563.0471797</v>
      </c>
      <c r="D9" s="18">
        <f>D8*(1-Assumptions!B8)</f>
        <v>2721384524.6123395</v>
      </c>
      <c r="E9" s="18">
        <f>E8*(1-Assumptions!B8)</f>
        <v>3282784320.6985655</v>
      </c>
      <c r="F9" s="18">
        <f>F8*(1-Assumptions!B8)</f>
        <v>3959996391.086804</v>
      </c>
    </row>
    <row r="10" spans="1:6" x14ac:dyDescent="0.25">
      <c r="A10" t="s">
        <v>46</v>
      </c>
      <c r="B10" s="18">
        <f>B6*Assumptions!B9</f>
        <v>814515734.1269354</v>
      </c>
      <c r="C10" s="18">
        <f>C6*Assumptions!B9</f>
        <v>982543795.9139854</v>
      </c>
      <c r="D10" s="18">
        <f>D6*Assumptions!B9</f>
        <v>1185234698.9022255</v>
      </c>
      <c r="E10" s="18">
        <f>E6*Assumptions!B9</f>
        <v>1429739109.1611226</v>
      </c>
      <c r="F10" s="18">
        <f>F6*Assumptions!B9</f>
        <v>1724682817.8065937</v>
      </c>
    </row>
    <row r="11" spans="1:6" x14ac:dyDescent="0.25">
      <c r="A11" t="s">
        <v>47</v>
      </c>
      <c r="B11" s="18">
        <f>-B6*Assumptions!B10</f>
        <v>-814515734.1269354</v>
      </c>
      <c r="C11" s="18">
        <f>-C6*Assumptions!B10</f>
        <v>-982543795.9139854</v>
      </c>
      <c r="D11" s="18">
        <f>-D6*Assumptions!B10</f>
        <v>-1185234698.9022255</v>
      </c>
      <c r="E11" s="18">
        <f>-E6*Assumptions!B10</f>
        <v>-1429739109.1611226</v>
      </c>
      <c r="F11" s="18">
        <f>-F6*Assumptions!B10</f>
        <v>-1724682817.8065937</v>
      </c>
    </row>
    <row r="12" spans="1:6" x14ac:dyDescent="0.25">
      <c r="A12" t="s">
        <v>48</v>
      </c>
      <c r="B12" s="18">
        <f>-(B6-Assumptions!B29)*Assumptions!B11</f>
        <v>-2593923.4310801663</v>
      </c>
      <c r="C12" s="18">
        <f>-(C6-B6)*Assumptions!B11</f>
        <v>-3129029.0260820817</v>
      </c>
      <c r="D12" s="18">
        <f>-(D6-C6)*Assumptions!B11</f>
        <v>-3774522.6126382076</v>
      </c>
      <c r="E12" s="18">
        <f>-(E6-D6)*Assumptions!B11</f>
        <v>-4553176.347857709</v>
      </c>
      <c r="F12" s="18">
        <f>-(F6-E6)*Assumptions!B11</f>
        <v>-5492460.1021798095</v>
      </c>
    </row>
    <row r="13" spans="1:6" x14ac:dyDescent="0.25">
      <c r="A13" s="19" t="s">
        <v>49</v>
      </c>
      <c r="B13" s="20">
        <f>B9+B10+B11+B12</f>
        <v>1867593066.5037777</v>
      </c>
      <c r="C13" s="20">
        <f>C9+C10+C11+C12</f>
        <v>2252862534.0210977</v>
      </c>
      <c r="D13" s="20">
        <f>D9+D10+D11+D12</f>
        <v>2717610001.9997015</v>
      </c>
      <c r="E13" s="20">
        <f>E9+E10+E11+E12</f>
        <v>3278231144.350708</v>
      </c>
      <c r="F13" s="20">
        <f>F9+F10+F11+F12</f>
        <v>3954503930.9846234</v>
      </c>
    </row>
    <row r="14" spans="1:6" x14ac:dyDescent="0.25">
      <c r="A14" t="s">
        <v>50</v>
      </c>
      <c r="B14" s="21">
        <f>1/(1+Assumptions!$B$26)^(1-0.5*Assumptions!$B$32)</f>
        <v>0.9571650518953515</v>
      </c>
      <c r="C14" s="21">
        <f>1/(1+Assumptions!$B$26)^(2-0.5*Assumptions!$B$32)</f>
        <v>0.8769210590565636</v>
      </c>
      <c r="D14" s="21">
        <f>1/(1+Assumptions!$B$26)^(3-0.5*Assumptions!$B$32)</f>
        <v>0.8034043264473055</v>
      </c>
      <c r="E14" s="21">
        <f>1/(1+Assumptions!$B$26)^(4-0.5*Assumptions!$B$32)</f>
        <v>0.7360508737795235</v>
      </c>
      <c r="F14" s="21">
        <f>1/(1+Assumptions!$B$26)^(5-0.5*Assumptions!$B$32)</f>
        <v>0.6743440020883857</v>
      </c>
    </row>
    <row r="15" spans="1:6" x14ac:dyDescent="0.25">
      <c r="A15" s="19" t="s">
        <v>51</v>
      </c>
      <c r="B15" s="20">
        <f>B13*B14</f>
        <v>1787594814.419487</v>
      </c>
      <c r="C15" s="20">
        <f>C13*C14</f>
        <v>1975582599.2426345</v>
      </c>
      <c r="D15" s="20">
        <f>D13*D14</f>
        <v>2183339633.2030306</v>
      </c>
      <c r="E15" s="20">
        <f>E13*E14</f>
        <v>2412944898.250586</v>
      </c>
      <c r="F15" s="20">
        <f>F13*F14</f>
        <v>2666696007.0944247</v>
      </c>
    </row>
    <row r="17" spans="1:2" x14ac:dyDescent="0.25">
      <c r="A17" s="22" t="s">
        <v>52</v>
      </c>
      <c r="B17" s="23">
        <f>SUM(B15:F15)</f>
        <v>11026157952.210163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3954503930.9846234</v>
      </c>
    </row>
    <row r="5" spans="1:2" x14ac:dyDescent="0.25">
      <c r="A5" t="s">
        <v>56</v>
      </c>
      <c r="B5" s="18">
        <f>IF(Assumptions!$B$33=0,B4,B4-Forecast!F11-Forecast!F10-Forecast!F12)</f>
        <v>3959996391.086804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0.27320458143774023</v>
      </c>
    </row>
    <row r="7" spans="1:2" x14ac:dyDescent="0.25">
      <c r="A7" t="s">
        <v>58</v>
      </c>
      <c r="B7" s="18">
        <f>-MAX(Forecast!F9,0)*B6</f>
        <v>-1081889156.5218322</v>
      </c>
    </row>
    <row r="8" spans="1:2" x14ac:dyDescent="0.25">
      <c r="A8" t="s">
        <v>59</v>
      </c>
      <c r="B8" s="18">
        <f>IF(OR(Assumptions!$B$33=0,Assumptions!B12&lt;=0),B5,MAX(B5+B7,0))</f>
        <v>2878107234.564972</v>
      </c>
    </row>
    <row r="9" spans="1:2" x14ac:dyDescent="0.25">
      <c r="A9" t="s">
        <v>60</v>
      </c>
      <c r="B9" s="18">
        <f>B8*(1+Assumptions!B12)/(Assumptions!B26-Assumptions!B12)</f>
        <v>44357455417.39511</v>
      </c>
    </row>
    <row r="10" spans="1:2" x14ac:dyDescent="0.25">
      <c r="A10" t="s">
        <v>61</v>
      </c>
      <c r="B10" s="18">
        <f>B9/(1+Assumptions!B26)^(5-0.5*Assumptions!B32)</f>
        <v>29912184008.623367</v>
      </c>
    </row>
    <row r="11" spans="1:2" x14ac:dyDescent="0.25">
      <c r="A11" t="s">
        <v>62</v>
      </c>
      <c r="B11" s="18">
        <f>Forecast!B17+B10</f>
        <v>40938341960.83353</v>
      </c>
    </row>
    <row r="12" spans="1:2" x14ac:dyDescent="0.25">
      <c r="A12" t="s">
        <v>63</v>
      </c>
      <c r="B12" s="18">
        <f>-Assumptions!B30</f>
        <v>-13852837000</v>
      </c>
    </row>
    <row r="13" spans="1:2" x14ac:dyDescent="0.25">
      <c r="A13" t="s">
        <v>64</v>
      </c>
      <c r="B13" s="18">
        <f>B11+B12</f>
        <v>27085504960.833527</v>
      </c>
    </row>
    <row r="14" spans="1:2" x14ac:dyDescent="0.25">
      <c r="A14" s="19" t="s">
        <v>65</v>
      </c>
      <c r="B14" s="24">
        <f>B13/Assumptions!B31</f>
        <v>127.85201424288562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5808370219.479473</v>
      </c>
    </row>
    <row r="18" spans="1:2" x14ac:dyDescent="0.25">
      <c r="A18" t="s">
        <v>60</v>
      </c>
      <c r="B18" s="18">
        <f>B17*Assumptions!B13</f>
        <v>116013307954.36935</v>
      </c>
    </row>
    <row r="19" spans="1:2" x14ac:dyDescent="0.25">
      <c r="A19" t="s">
        <v>61</v>
      </c>
      <c r="B19" s="18">
        <f>B18/(1+Assumptions!B26)^(5-0.5*Assumptions!B32)</f>
        <v>78232878381.46179</v>
      </c>
    </row>
    <row r="20" spans="1:2" x14ac:dyDescent="0.25">
      <c r="A20" t="s">
        <v>62</v>
      </c>
      <c r="B20" s="18">
        <f>Forecast!B17+B19</f>
        <v>89259036333.67195</v>
      </c>
    </row>
    <row r="21" spans="1:2" x14ac:dyDescent="0.25">
      <c r="A21" t="s">
        <v>63</v>
      </c>
      <c r="B21" s="18">
        <f>-Assumptions!B30</f>
        <v>-13852837000</v>
      </c>
    </row>
    <row r="22" spans="1:2" x14ac:dyDescent="0.25">
      <c r="A22" t="s">
        <v>64</v>
      </c>
      <c r="B22" s="18">
        <f>B20+B21</f>
        <v>75406199333.67195</v>
      </c>
    </row>
    <row r="23" spans="1:2" x14ac:dyDescent="0.25">
      <c r="A23" s="19" t="s">
        <v>65</v>
      </c>
      <c r="B23" s="25">
        <f>B22/Assumptions!B31</f>
        <v>355.940732327178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136.71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127.85201424288562</v>
      </c>
    </row>
    <row r="29" spans="1:2" x14ac:dyDescent="0.25">
      <c r="A29" s="19" t="s">
        <v>73</v>
      </c>
      <c r="B29" s="12">
        <f>B28/B26-1</f>
        <v>-0.06479398549567983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0.071507</v>
      </c>
      <c r="B5" s="31">
        <v>183.78829150441203</v>
      </c>
      <c r="C5" s="31">
        <v>184.7461675611979</v>
      </c>
      <c r="D5" s="31">
        <v>185.7040436179837</v>
      </c>
      <c r="E5" s="31">
        <v>186.66191967476954</v>
      </c>
      <c r="F5" s="31">
        <v>187.61979573155534</v>
      </c>
    </row>
    <row r="6" spans="1:6" x14ac:dyDescent="0.25">
      <c r="A6" s="30">
        <v>0.081507</v>
      </c>
      <c r="B6" s="31">
        <v>151.57875974618744</v>
      </c>
      <c r="C6" s="31">
        <v>152.38471052171442</v>
      </c>
      <c r="D6" s="31">
        <v>153.19066129724138</v>
      </c>
      <c r="E6" s="31">
        <v>153.99661207276836</v>
      </c>
      <c r="F6" s="31">
        <v>154.8025628482953</v>
      </c>
    </row>
    <row r="7" spans="1:6" x14ac:dyDescent="0.25">
      <c r="A7" s="30">
        <v>0.091507</v>
      </c>
      <c r="B7" s="31">
        <v>126.47342788780794</v>
      </c>
      <c r="C7" s="31">
        <v>127.16217810877754</v>
      </c>
      <c r="D7" s="32">
        <v>127.85092832974706</v>
      </c>
      <c r="E7" s="31">
        <v>128.53967855071662</v>
      </c>
      <c r="F7" s="31">
        <v>129.2284287716862</v>
      </c>
    </row>
    <row r="8" spans="1:6" x14ac:dyDescent="0.25">
      <c r="A8" s="30">
        <v>0.101507</v>
      </c>
      <c r="B8" s="31">
        <v>106.36998236308479</v>
      </c>
      <c r="C8" s="31">
        <v>106.96591444116811</v>
      </c>
      <c r="D8" s="31">
        <v>107.56184651925142</v>
      </c>
      <c r="E8" s="31">
        <v>108.15777859733478</v>
      </c>
      <c r="F8" s="31">
        <v>108.75371067541806</v>
      </c>
    </row>
    <row r="9" spans="1:6" x14ac:dyDescent="0.25">
      <c r="A9" s="30">
        <v>0.111507</v>
      </c>
      <c r="B9" s="31">
        <v>89.9203913646473</v>
      </c>
      <c r="C9" s="31">
        <v>90.44126022115032</v>
      </c>
      <c r="D9" s="31">
        <v>90.96212907765324</v>
      </c>
      <c r="E9" s="31">
        <v>91.48299793415622</v>
      </c>
      <c r="F9" s="31">
        <v>92.00386679065919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3377542000</v>
      </c>
      <c r="C5" s="18">
        <v>3256902000</v>
      </c>
      <c r="D5" s="18">
        <v>2560244000</v>
      </c>
      <c r="E5" s="18">
        <v>1924170000</v>
      </c>
      <c r="F5" s="8" t="s">
        <v>84</v>
      </c>
    </row>
    <row r="6" spans="1:6" x14ac:dyDescent="0.25">
      <c r="A6" t="s">
        <v>44</v>
      </c>
      <c r="B6" s="18">
        <v>1489001000</v>
      </c>
      <c r="C6" s="18">
        <v>1401029000</v>
      </c>
      <c r="D6" s="18">
        <v>1236873000</v>
      </c>
      <c r="E6" s="18">
        <v>1037701000</v>
      </c>
      <c r="F6" s="8" t="s">
        <v>85</v>
      </c>
    </row>
    <row r="7" spans="1:6" x14ac:dyDescent="0.25">
      <c r="A7" t="s">
        <v>86</v>
      </c>
      <c r="B7" s="18">
        <v>715177000</v>
      </c>
      <c r="C7" s="18">
        <v>783023000</v>
      </c>
      <c r="D7" s="18">
        <v>506053000</v>
      </c>
      <c r="E7" s="18">
        <v>288316000</v>
      </c>
      <c r="F7" s="8" t="s">
        <v>87</v>
      </c>
    </row>
    <row r="8" spans="1:6" x14ac:dyDescent="0.25">
      <c r="A8" t="s">
        <v>88</v>
      </c>
      <c r="B8" s="18">
        <v>21139000</v>
      </c>
      <c r="C8" s="18">
        <v>20514000</v>
      </c>
      <c r="D8" s="18">
        <v>15994000</v>
      </c>
      <c r="E8" s="18">
        <v>22832000</v>
      </c>
      <c r="F8" s="8" t="s">
        <v>89</v>
      </c>
    </row>
    <row r="9" spans="1:6" x14ac:dyDescent="0.25">
      <c r="A9" t="s">
        <v>90</v>
      </c>
      <c r="B9" s="18">
        <v>13855000</v>
      </c>
      <c r="C9" s="18">
        <v>-48250000</v>
      </c>
      <c r="D9" s="18">
        <v>2368000</v>
      </c>
      <c r="E9" s="18">
        <v>-38007000</v>
      </c>
      <c r="F9" s="8" t="s">
        <v>91</v>
      </c>
    </row>
    <row r="10" spans="1:6" x14ac:dyDescent="0.25">
      <c r="A10" t="s">
        <v>92</v>
      </c>
      <c r="B10" s="18">
        <v>13991757000</v>
      </c>
      <c r="C10" s="18">
        <v>13027861000</v>
      </c>
      <c r="D10" s="18">
        <v>11253263000</v>
      </c>
      <c r="E10" s="18">
        <v>7560497000</v>
      </c>
      <c r="F10" s="8" t="s">
        <v>93</v>
      </c>
    </row>
    <row r="11" spans="1:6" x14ac:dyDescent="0.25">
      <c r="A11" t="s">
        <v>94</v>
      </c>
      <c r="B11" s="18">
        <v>138920000</v>
      </c>
      <c r="C11" s="18">
        <v>138222000</v>
      </c>
      <c r="D11" s="18">
        <v>99062000</v>
      </c>
      <c r="E11" s="18">
        <v>92868000</v>
      </c>
      <c r="F11" s="8" t="s">
        <v>95</v>
      </c>
    </row>
    <row r="12" spans="1:6" x14ac:dyDescent="0.25">
      <c r="A12" t="s">
        <v>32</v>
      </c>
      <c r="B12" s="34">
        <v>211850436</v>
      </c>
      <c r="C12" s="34">
        <v>211577595</v>
      </c>
      <c r="D12" s="34">
        <v>169220814</v>
      </c>
      <c r="E12" s="34">
        <v>141681331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