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<sst xmlns="http://schemas.openxmlformats.org/spreadsheetml/2006/main" count="121" uniqueCount="108">
  <si>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Ford Motor Company (F)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</si>
  <si>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</si>
  <si>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</si>
  <si>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</si>
  <si>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</si>
  <si>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</si>
  <si>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</si>
  <si>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</si>
  <si>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</si>
  <si>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</si>
  <si>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</si>
  <si>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</si>
  <si>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</si>
  <si>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</si>
  <si>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</si>
  <si>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</si>
  <si>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</si>
  <si>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</si>
  <si>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</si>
  <si>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</si>
  <si>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</si>
  <si>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</si>
  <si>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</si>
  <si>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</si>
  <si>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-6.9x interest cover, capped at 200bp because one year's cover is too noisy to charge more. Book interest / average debt was lower, at 0.8%.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</si>
  <si>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</si>
  <si>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</si>
  <si>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</si>
  <si>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</si>
  <si>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</si>
  <si>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</si>
  <si>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</si>
  <si>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</si>
  <si>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</si>
  <si>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</si>
  <si>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</si>
  <si>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</si>
  <si>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</si>
  <si>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</si>
  <si>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</si>
  <si>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</si>
  <si>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</si>
  <si>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</si>
  <si>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</si>
  <si>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</si>
  <si>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</si>
  <si>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</si>
  <si>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</si>
  <si>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</si>
  <si>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</si>
  <si>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</si>
  <si>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</si>
  <si>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</si>
  <si>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</si>
  <si>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</si>
  <si>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</si>
  <si>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</si>
  <si>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</si>
  <si>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</si>
  <si>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</si>
  <si>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</si>
  <si>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</si>
  <si>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</si>
  <si>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</si>
  <si>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</si>
  <si>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</si>
  <si>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</si>
  <si>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</si>
  <si>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</si>
  <si>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</si>
  <si>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</si>
  <si>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</si>
  <si>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</si>
  <si>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</si>
  <si>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</si>
  <si>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</si>
  <si>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</si>
  <si>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</si>
  <si>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</si>
  <si>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</si>
  <si>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</si>
  <si>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</si>
  <si>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</si>
  <si>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</si>
  <si>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</si>
  <si>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</si>
  <si>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</si>
  <si>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</si>
  <si>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</si>
  <si>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</si>
  <si>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</si>
  <si>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</si>
  <si>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</si>
  <si>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</si>
  <si>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</si>
  <si>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</si>
  <si>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</si>
  <si>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</si>
  <si>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</si>
  <si>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</si>
  <si>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</si>
  <si>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</si>
  <si>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</si>
  <si>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</si>
  <si>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</si>
  <si>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</si>
  <si>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Current EV/EBITDA of 35.5x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</si>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</sst>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-0.062276163071977475</v>
      </c>
    </row>
    <row r="7" spans="1:2" x14ac:dyDescent="0.25">
      <c r="A7" t="s">
        <v>4</v>
      </c>
      <c r="B7" s="5">
        <v>0.012483698443448337</v>
      </c>
    </row>
    <row r="8" spans="1:2" x14ac:dyDescent="0.25">
      <c r="A8" t="s">
        <v>5</v>
      </c>
      <c r="B8" s="5">
        <v>0.1851237384211254</v>
      </c>
    </row>
    <row r="9" spans="1:2" x14ac:dyDescent="0.25">
      <c r="A9" t="s">
        <v>6</v>
      </c>
      <c r="B9" s="5">
        <v>0.04632444693093976</v>
      </c>
    </row>
    <row r="10" spans="1:3" x14ac:dyDescent="0.25">
      <c r="A10" t="s">
        <v>7</v>
      </c>
      <c r="B10" s="5">
        <v>0.04604978727740169</v>
      </c>
      <c r="C10" s="6" t="s">
        <v>8</v>
      </c>
    </row>
    <row r="11" spans="1:2" x14ac:dyDescent="0.25">
      <c r="A11" t="s">
        <v>9</v>
      </c>
      <c r="B11" s="5">
        <v>0.2908630591758385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0.06416781703623993</v>
      </c>
      <c r="C14" s="6" t="s">
        <v>13</v>
      </c>
    </row>
    <row r="15" spans="1:3" x14ac:dyDescent="0.25">
      <c r="A15" t="s">
        <v>14</v>
      </c>
      <c r="B15" s="5">
        <v>0.05455015017718857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48916914176</v>
      </c>
    </row>
    <row r="23" spans="1:2" x14ac:dyDescent="0.25">
      <c r="A23" t="s">
        <v>26</v>
      </c>
      <c r="B23" s="10">
        <v>165738000000</v>
      </c>
    </row>
    <row r="24" spans="1:2" x14ac:dyDescent="0.25">
      <c r="A24" t="s">
        <v>27</v>
      </c>
      <c r="B24" s="9">
        <f>B22/(B22+B23)</f>
        <v>0.22788630003547</v>
      </c>
    </row>
    <row r="25" spans="1:2" x14ac:dyDescent="0.25">
      <c r="A25" t="s">
        <v>28</v>
      </c>
      <c r="B25" s="9">
        <f>1-B24</f>
        <v>0.7721136999645299</v>
      </c>
    </row>
    <row r="26" spans="1:2" x14ac:dyDescent="0.25">
      <c r="A26" t="s">
        <v>29</v>
      </c>
      <c r="B26" s="11">
        <f>B24*B20+B25*B21*(1-B8)</f>
        <v>0.06416781703623993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187267000000</v>
      </c>
      <c r="C29" s="6" t="s">
        <v>32</v>
      </c>
    </row>
    <row r="30" spans="1:2" x14ac:dyDescent="0.25">
      <c r="A30" t="s">
        <v>33</v>
      </c>
      <c r="B30" s="10">
        <v>127251000000</v>
      </c>
    </row>
    <row r="31" spans="1:2" x14ac:dyDescent="0.25">
      <c r="A31" t="s">
        <v>34</v>
      </c>
      <c r="B31" s="12">
        <v>3979000000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-0.062276163071977475</v>
      </c>
      <c r="C5" s="5">
        <v>0.021003087245034413</v>
      </c>
      <c r="D5" s="5">
        <v>0.02150270133940511</v>
      </c>
      <c r="E5" s="5">
        <v>0.02200231543377581</v>
      </c>
      <c r="F5" s="5">
        <v>0.02250192952814651</v>
      </c>
      <c r="G5" s="5">
        <v>0.023001543622517207</v>
      </c>
      <c r="H5" s="5">
        <v>0.023501157716887905</v>
      </c>
      <c r="I5" s="5">
        <v>0.024000771811258606</v>
      </c>
      <c r="J5" s="5">
        <v>0.024500385905629304</v>
      </c>
      <c r="K5" s="5">
        <v>0.025</v>
      </c>
    </row>
    <row r="6" spans="1:11" x14ac:dyDescent="0.25">
      <c r="A6" t="s">
        <v>50</v>
      </c>
      <c r="B6" s="18">
        <f>Assumptions!B29*(1+B5)</f>
        <v>175604729770</v>
      </c>
      <c r="C6" s="18">
        <f>B6*(1+C5)</f>
        <v>179292971230</v>
      </c>
      <c r="D6" s="18">
        <f>C6*(1+D5)</f>
        <v>183148254442.61325</v>
      </c>
      <c r="E6" s="18">
        <f>D6*(1+E5)</f>
        <v>187177940108.00507</v>
      </c>
      <c r="F6" s="18">
        <f>E6*(1+F5)</f>
        <v>191389804925.53903</v>
      </c>
      <c r="G6" s="18">
        <f>F6*(1+G5)</f>
        <v>195792065872.4389</v>
      </c>
      <c r="H6" s="18">
        <f>G6*(1+H5)</f>
        <v>200393406092.2224</v>
      </c>
      <c r="I6" s="18">
        <f>H6*(1+I5)</f>
        <v>205203002504.32275</v>
      </c>
      <c r="J6" s="18">
        <f>I6*(1+J5)</f>
        <v>210230555254.67245</v>
      </c>
      <c r="K6" s="18">
        <f>J6*(1+K5)</f>
        <v>215486319136.03925</v>
      </c>
    </row>
    <row r="7" spans="1:11" x14ac:dyDescent="0.25">
      <c r="A7" t="s">
        <v>4</v>
      </c>
      <c r="B7" s="9">
        <f>Assumptions!B7</f>
        <v>0.012483698443448337</v>
      </c>
      <c r="C7" s="9">
        <f>Assumptions!B7</f>
        <v>0.012483698443448337</v>
      </c>
      <c r="D7" s="9">
        <f>Assumptions!B7</f>
        <v>0.012483698443448337</v>
      </c>
      <c r="E7" s="9">
        <f>Assumptions!B7</f>
        <v>0.012483698443448337</v>
      </c>
      <c r="F7" s="9">
        <f>Assumptions!B7</f>
        <v>0.012483698443448337</v>
      </c>
      <c r="G7" s="9">
        <f>Assumptions!B7</f>
        <v>0.012483698443448337</v>
      </c>
      <c r="H7" s="9">
        <f>Assumptions!B7</f>
        <v>0.012483698443448337</v>
      </c>
      <c r="I7" s="9">
        <f>Assumptions!B7</f>
        <v>0.012483698443448337</v>
      </c>
      <c r="J7" s="9">
        <f>Assumptions!B7</f>
        <v>0.012483698443448337</v>
      </c>
      <c r="K7" s="9">
        <f>Assumptions!B7</f>
        <v>0.012483698443448337</v>
      </c>
    </row>
    <row r="8" spans="1:11" x14ac:dyDescent="0.25">
      <c r="A8" t="s">
        <v>51</v>
      </c>
      <c r="B8" s="18">
        <f>B6*B7</f>
        <v>2192196491.691915</v>
      </c>
      <c r="C8" s="18">
        <f>C6*C7</f>
        <v>2238239385.8651786</v>
      </c>
      <c r="D8" s="18">
        <f>D6*D7</f>
        <v>2286367578.905531</v>
      </c>
      <c r="E8" s="18">
        <f>E6*E7</f>
        <v>2336672959.5741687</v>
      </c>
      <c r="F8" s="18">
        <f>F6*F7</f>
        <v>2389252609.840832</v>
      </c>
      <c r="G8" s="18">
        <f>G6*G7</f>
        <v>2444209107.9712996</v>
      </c>
      <c r="H8" s="18">
        <f>H6*H7</f>
        <v>2501650851.7107873</v>
      </c>
      <c r="I8" s="18">
        <f>I6*I7</f>
        <v>2561692402.954139</v>
      </c>
      <c r="J8" s="18">
        <f>J6*J7</f>
        <v>2624454855.398034</v>
      </c>
      <c r="K8" s="18">
        <f>K6*K7</f>
        <v>2690066226.7829847</v>
      </c>
    </row>
    <row r="9" spans="1:11" x14ac:dyDescent="0.25">
      <c r="A9" t="s">
        <v>52</v>
      </c>
      <c r="B9" s="18">
        <f>B8*(1-Assumptions!B8)</f>
        <v>1786368881.7962322</v>
      </c>
      <c r="C9" s="18">
        <f>C8*(1-Assumptions!B8)</f>
        <v>1823888143.272413</v>
      </c>
      <c r="D9" s="18">
        <f>D8*(1-Assumptions!B8)</f>
        <v>1863106665.2936816</v>
      </c>
      <c r="E9" s="18">
        <f>E8*(1-Assumptions!B8)</f>
        <v>1904099325.8302433</v>
      </c>
      <c r="F9" s="18">
        <f>F8*(1-Assumptions!B8)</f>
        <v>1946945234.674667</v>
      </c>
      <c r="G9" s="18">
        <f>G8*(1-Assumptions!B8)</f>
        <v>1991727980.4206886</v>
      </c>
      <c r="H9" s="18">
        <f>H8*(1-Assumptions!B8)</f>
        <v>2038535893.817694</v>
      </c>
      <c r="I9" s="18">
        <f>I8*(1-Assumptions!B8)</f>
        <v>2087462328.634273</v>
      </c>
      <c r="J9" s="18">
        <f>J8*(1-Assumptions!B8)</f>
        <v>2138605961.249276</v>
      </c>
      <c r="K9" s="18">
        <f>K8*(1-Assumptions!B8)</f>
        <v>2192071110.2805076</v>
      </c>
    </row>
    <row r="10" spans="1:11" x14ac:dyDescent="0.25">
      <c r="A10" t="s">
        <v>53</v>
      </c>
      <c r="B10" s="18">
        <f>B6*Assumptions!B9</f>
        <v>8134791985.052382</v>
      </c>
      <c r="C10" s="18">
        <f>C6*Assumptions!B9</f>
        <v>8305647730.834644</v>
      </c>
      <c r="D10" s="18">
        <f>D6*Assumptions!B9</f>
        <v>8484241593.42109</v>
      </c>
      <c r="E10" s="18">
        <f>E6*Assumptions!B9</f>
        <v>8670914553.175901</v>
      </c>
      <c r="F10" s="18">
        <f>F6*Assumptions!B9</f>
        <v>8866026861.396046</v>
      </c>
      <c r="G10" s="18">
        <f>G6*Assumptions!B9</f>
        <v>9069959165.006859</v>
      </c>
      <c r="H10" s="18">
        <f>H6*Assumptions!B9</f>
        <v>9283113705.829418</v>
      </c>
      <c r="I10" s="18">
        <f>I6*Assumptions!B9</f>
        <v>9505915599.580997</v>
      </c>
      <c r="J10" s="18">
        <f>J6*Assumptions!B9</f>
        <v>9738814200.157074</v>
      </c>
      <c r="K10" s="18">
        <f>K6*Assumptions!B9</f>
        <v>9982284555.161</v>
      </c>
    </row>
    <row r="11" spans="1:11" x14ac:dyDescent="0.25">
      <c r="A11" t="s">
        <v>54</v>
      </c>
      <c r="B11" s="18">
        <f>-B6*B19</f>
        <v>-8086560450.814107</v>
      </c>
      <c r="C11" s="18">
        <f>-C6*C19</f>
        <v>-8340829582.815866</v>
      </c>
      <c r="D11" s="18">
        <f>-D6*D19</f>
        <v>-8606421743.206284</v>
      </c>
      <c r="E11" s="18">
        <f>-E6*E19</f>
        <v>-8883922261.23669</v>
      </c>
      <c r="F11" s="18">
        <f>-F6*F19</f>
        <v>-9173950270.561935</v>
      </c>
      <c r="G11" s="18">
        <f>-G6*G19</f>
        <v>-9477160863.86913</v>
      </c>
      <c r="H11" s="18">
        <f>-H6*H19</f>
        <v>-9794247394.778921</v>
      </c>
      <c r="I11" s="18">
        <f>-I6*I19</f>
        <v>-10125943937.823332</v>
      </c>
      <c r="J11" s="18">
        <f>-J6*J19</f>
        <v>-10473027918.140348</v>
      </c>
      <c r="K11" s="18">
        <f>-K6*K19</f>
        <v>-10836322923.429977</v>
      </c>
    </row>
    <row r="12" spans="1:11" x14ac:dyDescent="0.25">
      <c r="A12" t="s">
        <v>55</v>
      </c>
      <c r="B12" s="18">
        <f>-(B6-Assumptions!B29)*Assumptions!B11</f>
        <v>3392123596.0331097</v>
      </c>
      <c r="C12" s="18">
        <f>-(C6-B6)*Assumptions!B11</f>
        <v>-1072773194.034761</v>
      </c>
      <c r="D12" s="18">
        <f>-(D6-C6)*Assumptions!B11</f>
        <v>-1121359469.2099447</v>
      </c>
      <c r="E12" s="18">
        <f>-(E6-D6)*Assumptions!B11</f>
        <v>-1172086700.1528876</v>
      </c>
      <c r="F12" s="18">
        <f>-(F6-E6)*Assumptions!B11</f>
        <v>-1225075885.6630142</v>
      </c>
      <c r="G12" s="18">
        <f>-(G6-F6)*Assumptions!B11</f>
        <v>-1280455086.3056202</v>
      </c>
      <c r="H12" s="18">
        <f>-(H6-G6)*Assumptions!B11</f>
        <v>-1338359892.6350563</v>
      </c>
      <c r="I12" s="18">
        <f>-(I6-H6)*Assumptions!B11</f>
        <v>-1398933925.8246422</v>
      </c>
      <c r="J12" s="18">
        <f>-(J6-I6)*Assumptions!B11</f>
        <v>-1462329373.1346147</v>
      </c>
      <c r="K12" s="18">
        <f>-(K6-J6)*Assumptions!B11</f>
        <v>-1528707560.8402236</v>
      </c>
    </row>
    <row r="13" spans="1:11" x14ac:dyDescent="0.25">
      <c r="A13" s="19" t="s">
        <v>56</v>
      </c>
      <c r="B13" s="20">
        <f>B9+B10+B11+B12</f>
        <v>5226724012.067616</v>
      </c>
      <c r="C13" s="20">
        <f>C9+C10+C11+C12</f>
        <v>715933097.2564301</v>
      </c>
      <c r="D13" s="20">
        <f>D9+D10+D11+D12</f>
        <v>619567046.298543</v>
      </c>
      <c r="E13" s="20">
        <f>E9+E10+E11+E12</f>
        <v>519004917.6165674</v>
      </c>
      <c r="F13" s="20">
        <f>F9+F10+F11+F12</f>
        <v>413945939.84576344</v>
      </c>
      <c r="G13" s="20">
        <f>G9+G10+G11+G12</f>
        <v>304071195.2527981</v>
      </c>
      <c r="H13" s="20">
        <f>H9+H10+H11+H12</f>
        <v>189042312.2331345</v>
      </c>
      <c r="I13" s="20">
        <f>I9+I10+I11+I12</f>
        <v>68500064.56729698</v>
      </c>
      <c r="J13" s="20">
        <f>J9+J10+J11+J12</f>
        <v>-57937129.86861396</v>
      </c>
      <c r="K13" s="20">
        <f>K9+K10+K11+K12</f>
        <v>-190674818.82869363</v>
      </c>
    </row>
    <row r="14" spans="1:11" x14ac:dyDescent="0.25">
      <c r="A14" t="s">
        <v>57</v>
      </c>
      <c r="B14" s="21">
        <f>1/(1+Assumptions!$B$26)^(1-0.5*Assumptions!$B$32)</f>
        <v>0.9693819741168104</v>
      </c>
      <c r="C14" s="21">
        <f>1/(1+Assumptions!$B$26)^(2-0.5*Assumptions!$B$32)</f>
        <v>0.9109296095953994</v>
      </c>
      <c r="D14" s="21">
        <f>1/(1+Assumptions!$B$26)^(3-0.5*Assumptions!$B$32)</f>
        <v>0.8560018401349361</v>
      </c>
      <c r="E14" s="21">
        <f>1/(1+Assumptions!$B$26)^(4-0.5*Assumptions!$B$32)</f>
        <v>0.8043861376290665</v>
      </c>
      <c r="F14" s="21">
        <f>1/(1+Assumptions!$B$26)^(5-0.5*Assumptions!$B$32)</f>
        <v>0.7558827891162145</v>
      </c>
      <c r="G14" s="21">
        <f>1/(1+Assumptions!$B$26)^(6-0.5*Assumptions!$B$32)</f>
        <v>0.7103041240444441</v>
      </c>
      <c r="H14" s="21">
        <f>1/(1+Assumptions!$B$26)^(7-0.5*Assumptions!$B$32)</f>
        <v>0.667473788131158</v>
      </c>
      <c r="I14" s="21">
        <f>1/(1+Assumptions!$B$26)^(8-0.5*Assumptions!$B$32)</f>
        <v>0.627226061008033</v>
      </c>
      <c r="J14" s="21">
        <f>1/(1+Assumptions!$B$26)^(9-0.5*Assumptions!$B$32)</f>
        <v>0.5894052150110015</v>
      </c>
      <c r="K14" s="21">
        <f>1/(1+Assumptions!$B$26)^(10-0.5*Assumptions!$B$32)</f>
        <v>0.5538649126342913</v>
      </c>
    </row>
    <row r="15" spans="1:11" x14ac:dyDescent="0.25">
      <c r="A15" s="19" t="s">
        <v>58</v>
      </c>
      <c r="B15" s="20">
        <f>B13*B14</f>
        <v>5066692040.981841</v>
      </c>
      <c r="C15" s="20">
        <f>C13*C14</f>
        <v>652164656.780225</v>
      </c>
      <c r="D15" s="20">
        <f>D13*D14</f>
        <v>530350531.7185199</v>
      </c>
      <c r="E15" s="20">
        <f>E13*E14</f>
        <v>417480361.0920825</v>
      </c>
      <c r="F15" s="20">
        <f>F13*F14</f>
        <v>312894611.55394846</v>
      </c>
      <c r="G15" s="20">
        <f>G13*G14</f>
        <v>215983023.99118587</v>
      </c>
      <c r="H15" s="20">
        <f>H13*H14</f>
        <v>126180788.26332344</v>
      </c>
      <c r="I15" s="20">
        <f>I13*I14</f>
        <v>42965025.67734162</v>
      </c>
      <c r="J15" s="20">
        <f>J13*J14</f>
        <v>-34148446.48733073</v>
      </c>
      <c r="K15" s="20">
        <f>K13*K14</f>
        <v>-105608091.87211372</v>
      </c>
    </row>
    <row r="17" spans="1:2" x14ac:dyDescent="0.25">
      <c r="A17" s="22" t="s">
        <v>59</v>
      </c>
      <c r="B17" s="23">
        <f>SUM(B15:K15)</f>
        <v>7224954501.699023</v>
      </c>
    </row>
    <row r="19" spans="1:11" x14ac:dyDescent="0.25">
      <c r="A19" t="s">
        <v>7</v>
      </c>
      <c r="B19" s="9">
        <f>Assumptions!$B$10+($B$20-Assumptions!$B$10)*0/9</f>
        <v>0.04604978727740169</v>
      </c>
      <c r="C19" s="9">
        <f>Assumptions!$B$10+($B$20-Assumptions!$B$10)*1/9</f>
        <v>0.04652067242566978</v>
      </c>
      <c r="D19" s="9">
        <f>Assumptions!$B$10+($B$20-Assumptions!$B$10)*2/9</f>
        <v>0.04699155757393787</v>
      </c>
      <c r="E19" s="9">
        <f>Assumptions!$B$10+($B$20-Assumptions!$B$10)*3/9</f>
        <v>0.04746244272220597</v>
      </c>
      <c r="F19" s="9">
        <f>Assumptions!$B$10+($B$20-Assumptions!$B$10)*4/9</f>
        <v>0.047933327870474066</v>
      </c>
      <c r="G19" s="9">
        <f>Assumptions!$B$10+($B$20-Assumptions!$B$10)*5/9</f>
        <v>0.048404213018742155</v>
      </c>
      <c r="H19" s="9">
        <f>Assumptions!$B$10+($B$20-Assumptions!$B$10)*6/9</f>
        <v>0.04887509816701025</v>
      </c>
      <c r="I19" s="9">
        <f>Assumptions!$B$10+($B$20-Assumptions!$B$10)*7/9</f>
        <v>0.04934598331527835</v>
      </c>
      <c r="J19" s="9">
        <f>Assumptions!$B$10+($B$20-Assumptions!$B$10)*8/9</f>
        <v>0.04981686846354644</v>
      </c>
      <c r="K19" s="9">
        <f>Assumptions!$B$10+($B$20-Assumptions!$B$10)*9/9</f>
        <v>0.050287753611814534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0.050287753611814534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-190674818.82869363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2192071110.2805076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0.3896034048638557</v>
      </c>
    </row>
    <row r="7" spans="1:2" x14ac:dyDescent="0.25">
      <c r="A7" t="s">
        <v>66</v>
      </c>
      <c r="B7" s="18">
        <f>-MAX(B5,0)*B6</f>
        <v>-854038368.2689782</v>
      </c>
    </row>
    <row r="8" spans="1:2" x14ac:dyDescent="0.25">
      <c r="A8" t="s">
        <v>67</v>
      </c>
      <c r="B8" s="18">
        <f>IF(OR(Assumptions!$B$33=0,Assumptions!B12&lt;=0),B5,MAX(B5+B7,0))</f>
        <v>1338032742.0115294</v>
      </c>
    </row>
    <row r="9" spans="1:2" x14ac:dyDescent="0.25">
      <c r="A9" t="s">
        <v>68</v>
      </c>
      <c r="B9" s="18">
        <f>B8*(1+Assumptions!B12)/(Assumptions!B26-Assumptions!B12)</f>
        <v>35015573099.02811</v>
      </c>
    </row>
    <row r="10" spans="1:2" x14ac:dyDescent="0.25">
      <c r="A10" t="s">
        <v>69</v>
      </c>
      <c r="B10" s="18">
        <f>B9/(1+Assumptions!B26)^(10-0.5*Assumptions!B32)</f>
        <v>19393897335.332844</v>
      </c>
    </row>
    <row r="11" spans="1:2" x14ac:dyDescent="0.25">
      <c r="A11" t="s">
        <v>70</v>
      </c>
      <c r="B11" s="18">
        <f>Forecast!B17+B10</f>
        <v>26618851837.031868</v>
      </c>
    </row>
    <row r="12" spans="1:2" x14ac:dyDescent="0.25">
      <c r="A12" t="s">
        <v>71</v>
      </c>
      <c r="B12" s="18">
        <f>-Assumptions!B30</f>
        <v>-127251000000</v>
      </c>
    </row>
    <row r="13" spans="1:2" x14ac:dyDescent="0.25">
      <c r="A13" t="s">
        <v>72</v>
      </c>
      <c r="B13" s="18">
        <f>B11+B12</f>
        <v>-100632148162.96814</v>
      </c>
    </row>
    <row r="14" spans="1:2" x14ac:dyDescent="0.25">
      <c r="A14" s="19" t="s">
        <v>73</v>
      </c>
      <c r="B14" s="24">
        <f>B13/Assumptions!B31</f>
        <v>-25.290813813261657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12672350781.943985</v>
      </c>
    </row>
    <row r="18" spans="1:2" x14ac:dyDescent="0.25">
      <c r="A18" t="s">
        <v>68</v>
      </c>
      <c r="B18" s="18">
        <f>B17*Assumptions!B13</f>
        <v>253447015638.8797</v>
      </c>
    </row>
    <row r="19" spans="1:2" x14ac:dyDescent="0.25">
      <c r="A19" t="s">
        <v>69</v>
      </c>
      <c r="B19" s="18">
        <f>B18/(1+Assumptions!B26)^(10-0.5*Assumptions!B32)</f>
        <v>140375409174.24997</v>
      </c>
    </row>
    <row r="20" spans="1:2" x14ac:dyDescent="0.25">
      <c r="A20" t="s">
        <v>70</v>
      </c>
      <c r="B20" s="18">
        <f>Forecast!B17+B19</f>
        <v>147600363675.949</v>
      </c>
    </row>
    <row r="21" spans="1:2" x14ac:dyDescent="0.25">
      <c r="A21" t="s">
        <v>71</v>
      </c>
      <c r="B21" s="18">
        <f>-Assumptions!B30</f>
        <v>-127251000000</v>
      </c>
    </row>
    <row r="22" spans="1:2" x14ac:dyDescent="0.25">
      <c r="A22" t="s">
        <v>72</v>
      </c>
      <c r="B22" s="18">
        <f>B20+B21</f>
        <v>20349363675.949005</v>
      </c>
    </row>
    <row r="23" spans="1:2" x14ac:dyDescent="0.25">
      <c r="A23" s="19" t="s">
        <v>73</v>
      </c>
      <c r="B23" s="25">
        <f>B22/Assumptions!B31</f>
        <v>5.114190418685349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12.25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-25.290813813261657</v>
      </c>
    </row>
    <row r="29" spans="1:2" x14ac:dyDescent="0.25">
      <c r="A29" s="19" t="s">
        <v>81</v>
      </c>
      <c r="B29" s="11">
        <f>B28/B26-1</f>
        <v>-3.0645562296540128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0.044168</v>
      </c>
      <c r="B5" s="31">
        <v>-21.62908371680322</v>
      </c>
      <c r="C5" s="31">
        <v>-21.805723773511506</v>
      </c>
      <c r="D5" s="31">
        <v>-21.982363830219793</v>
      </c>
      <c r="E5" s="31">
        <v>-22.15900388692808</v>
      </c>
      <c r="F5" s="31">
        <v>-22.335643943636367</v>
      </c>
    </row>
    <row r="6" spans="1:6" x14ac:dyDescent="0.25">
      <c r="A6" s="30">
        <v>0.054168</v>
      </c>
      <c r="B6" s="31">
        <v>-23.686306504054834</v>
      </c>
      <c r="C6" s="31">
        <v>-23.822242740704578</v>
      </c>
      <c r="D6" s="31">
        <v>-23.958178977354322</v>
      </c>
      <c r="E6" s="31">
        <v>-24.094115214004066</v>
      </c>
      <c r="F6" s="31">
        <v>-24.23005145065381</v>
      </c>
    </row>
    <row r="7" spans="1:6" x14ac:dyDescent="0.25">
      <c r="A7" s="30">
        <v>0.064168</v>
      </c>
      <c r="B7" s="31">
        <v>-25.074031738159558</v>
      </c>
      <c r="C7" s="31">
        <v>-25.18243295168095</v>
      </c>
      <c r="D7" s="32">
        <v>-25.290834165202348</v>
      </c>
      <c r="E7" s="31">
        <v>-25.39923537872374</v>
      </c>
      <c r="F7" s="31">
        <v>-25.50763659224514</v>
      </c>
    </row>
    <row r="8" spans="1:6" x14ac:dyDescent="0.25">
      <c r="A8" s="30">
        <v>0.074168</v>
      </c>
      <c r="B8" s="31">
        <v>-26.065749491764663</v>
      </c>
      <c r="C8" s="31">
        <v>-26.154423596071464</v>
      </c>
      <c r="D8" s="31">
        <v>-26.243097700378264</v>
      </c>
      <c r="E8" s="31">
        <v>-26.331771804685065</v>
      </c>
      <c r="F8" s="31">
        <v>-26.420445908991873</v>
      </c>
    </row>
    <row r="9" spans="1:6" x14ac:dyDescent="0.25">
      <c r="A9" s="30">
        <v>0.084168</v>
      </c>
      <c r="B9" s="31">
        <v>-26.804708654698313</v>
      </c>
      <c r="C9" s="31">
        <v>-26.878653178148756</v>
      </c>
      <c r="D9" s="31">
        <v>-26.9525977015992</v>
      </c>
      <c r="E9" s="31">
        <v>-27.026542225049646</v>
      </c>
      <c r="F9" s="31">
        <v>-27.10048674850008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187267000000</v>
      </c>
      <c r="C5" s="18">
        <v>184992000000</v>
      </c>
      <c r="D5" s="18">
        <v>176191000000</v>
      </c>
      <c r="E5" s="18">
        <v>158057000000</v>
      </c>
      <c r="F5" s="6" t="s">
        <v>91</v>
      </c>
    </row>
    <row r="6" spans="1:6" x14ac:dyDescent="0.25">
      <c r="A6" t="s">
        <v>51</v>
      </c>
      <c r="B6" s="18">
        <v>-9169000000</v>
      </c>
      <c r="C6" s="18">
        <v>5219000000</v>
      </c>
      <c r="D6" s="18">
        <v>5458000000</v>
      </c>
      <c r="E6" s="18">
        <v>6276000000</v>
      </c>
      <c r="F6" s="6" t="s">
        <v>92</v>
      </c>
    </row>
    <row r="7" spans="1:6" x14ac:dyDescent="0.25">
      <c r="A7" t="s">
        <v>93</v>
      </c>
      <c r="B7" s="18">
        <v>14135000000</v>
      </c>
      <c r="C7" s="18">
        <v>5867000000</v>
      </c>
      <c r="D7" s="18">
        <v>6523000000</v>
      </c>
      <c r="E7" s="18">
        <v>6493000000</v>
      </c>
      <c r="F7" s="6" t="s">
        <v>94</v>
      </c>
    </row>
    <row r="8" spans="1:6" x14ac:dyDescent="0.25">
      <c r="A8" t="s">
        <v>95</v>
      </c>
      <c r="B8" s="18">
        <v>8815000000</v>
      </c>
      <c r="C8" s="18">
        <v>8684000000</v>
      </c>
      <c r="D8" s="18">
        <v>8236000000</v>
      </c>
      <c r="E8" s="18">
        <v>6866000000</v>
      </c>
      <c r="F8" s="6" t="s">
        <v>96</v>
      </c>
    </row>
    <row r="9" spans="1:6" x14ac:dyDescent="0.25">
      <c r="A9" t="s">
        <v>97</v>
      </c>
      <c r="B9" s="18">
        <v>-12843000000</v>
      </c>
      <c r="C9" s="18">
        <v>-1656000000</v>
      </c>
      <c r="D9" s="18">
        <v>-1163000000</v>
      </c>
      <c r="E9" s="18">
        <v>7051000000</v>
      </c>
      <c r="F9" s="6" t="s">
        <v>98</v>
      </c>
    </row>
    <row r="10" spans="1:6" x14ac:dyDescent="0.25">
      <c r="A10" t="s">
        <v>99</v>
      </c>
      <c r="B10" s="18">
        <v>165738000000</v>
      </c>
      <c r="C10" s="18">
        <v>160862000000</v>
      </c>
      <c r="D10" s="18">
        <v>151107000000</v>
      </c>
      <c r="E10" s="18">
        <v>140474000000</v>
      </c>
      <c r="F10" s="6" t="s">
        <v>100</v>
      </c>
    </row>
    <row r="11" spans="1:6" x14ac:dyDescent="0.25">
      <c r="A11" t="s">
        <v>101</v>
      </c>
      <c r="B11" s="18">
        <v>38487000000</v>
      </c>
      <c r="C11" s="18">
        <v>38348000000</v>
      </c>
      <c r="D11" s="18">
        <v>40171000000</v>
      </c>
      <c r="E11" s="18">
        <v>44070000000</v>
      </c>
      <c r="F11" s="6" t="s">
        <v>102</v>
      </c>
    </row>
    <row r="12" spans="1:6" x14ac:dyDescent="0.25">
      <c r="A12" t="s">
        <v>34</v>
      </c>
      <c r="B12" s="34">
        <v>3979000000</v>
      </c>
      <c r="C12" s="34">
        <v>4021000000</v>
      </c>
      <c r="D12" s="34">
        <v>4041000000</v>
      </c>
      <c r="E12" s="34">
        <v>4014000000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