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<sst xmlns="http://schemas.openxmlformats.org/spreadsheetml/2006/main" count="112" uniqueCount="100">
  <si>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Ford Motor Company (F)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</si>
  <si>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</si>
  <si>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</si>
  <si>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</si>
  <si>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</si>
  <si>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</si>
  <si>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</si>
  <si>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</si>
  <si>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</si>
  <si>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</si>
  <si>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</si>
  <si>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</si>
  <si>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</si>
  <si>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</si>
  <si>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</si>
  <si>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</si>
  <si>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</si>
  <si>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</si>
  <si>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</si>
  <si>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</si>
  <si>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</si>
  <si>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</si>
  <si>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</si>
  <si>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</si>
  <si>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</si>
  <si>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</si>
  <si>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</si>
  <si>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</si>
  <si>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</si>
  <si>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</si>
  <si>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</si>
  <si>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</si>
  <si>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</si>
  <si>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</si>
  <si>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</si>
  <si>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</si>
  <si>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</si>
  <si>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</si>
  <si>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</si>
  <si>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</si>
  <si>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</si>
  <si>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</si>
  <si>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</si>
  <si>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</si>
  <si>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</si>
  <si>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</si>
  <si>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</si>
  <si>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</si>
  <si>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</si>
  <si>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</si>
  <si>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</si>
  <si>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</si>
  <si>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</si>
  <si>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</si>
  <si>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</si>
  <si>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</si>
  <si>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</si>
  <si>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</si>
  <si>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</si>
  <si>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</si>
  <si>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</si>
  <si>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</si>
  <si>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</si>
  <si>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</si>
  <si>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</si>
  <si>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</si>
  <si>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</si>
  <si>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</si>
  <si>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</si>
  <si>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</si>
  <si>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</si>
  <si>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</si>
  <si>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</si>
  <si>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</si>
  <si>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</si>
  <si>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</si>
  <si>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</si>
  <si>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</si>
  <si>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</si>
  <si>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</si>
  <si>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</si>
  <si>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</si>
  <si>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</si>
  <si>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</si>
  <si>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</si>
  <si>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</si>
  <si>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</si>
  <si>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</si>
  <si>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</si>
  <si>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</si>
  <si>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</si>
  <si>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</si>
  <si>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</si>
  <si>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</si>
  <si>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</si>
  <si>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</si>
  <si>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</si>
  <si>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</si>
  <si>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Current EV/EBITDA of 36.2x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</si>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</sst>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0.05815471849810683</v>
      </c>
    </row>
    <row r="7" spans="1:2" x14ac:dyDescent="0.25">
      <c r="A7" t="s">
        <v>5</v>
      </c>
      <c r="B7" s="6">
        <v>0.012483698443448337</v>
      </c>
    </row>
    <row r="8" spans="1:2" x14ac:dyDescent="0.25">
      <c r="A8" t="s">
        <v>6</v>
      </c>
      <c r="B8" s="6">
        <v>0.1851237384211254</v>
      </c>
    </row>
    <row r="9" spans="1:2" x14ac:dyDescent="0.25">
      <c r="A9" t="s">
        <v>7</v>
      </c>
      <c r="B9" s="6">
        <v>0.04632444693093976</v>
      </c>
    </row>
    <row r="10" spans="1:2" x14ac:dyDescent="0.25">
      <c r="A10" t="s">
        <v>8</v>
      </c>
      <c r="B10" s="6">
        <v>0.04604978727740169</v>
      </c>
    </row>
    <row r="11" spans="1:2" x14ac:dyDescent="0.25">
      <c r="A11" t="s">
        <v>9</v>
      </c>
      <c r="B11" s="6">
        <v>-0.1881604363140552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0.06364455105767985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1.55945</v>
      </c>
      <c r="C19" s="8" t="s">
        <v>19</v>
      </c>
    </row>
    <row r="20" spans="1:2" x14ac:dyDescent="0.25">
      <c r="A20" t="s">
        <v>20</v>
      </c>
      <c r="B20" s="10">
        <f>B17+B19*B18</f>
        <v>0.13574975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52676141056</v>
      </c>
    </row>
    <row r="23" spans="1:2" x14ac:dyDescent="0.25">
      <c r="A23" t="s">
        <v>24</v>
      </c>
      <c r="B23" s="11">
        <v>165738000000</v>
      </c>
    </row>
    <row r="24" spans="1:2" x14ac:dyDescent="0.25">
      <c r="A24" t="s">
        <v>25</v>
      </c>
      <c r="B24" s="10">
        <f>B22/(B22+B23)</f>
        <v>0.24117550631712154</v>
      </c>
    </row>
    <row r="25" spans="1:2" x14ac:dyDescent="0.25">
      <c r="A25" t="s">
        <v>26</v>
      </c>
      <c r="B25" s="10">
        <f>1-B24</f>
        <v>0.7588244936828785</v>
      </c>
    </row>
    <row r="26" spans="1:2" x14ac:dyDescent="0.25">
      <c r="A26" t="s">
        <v>27</v>
      </c>
      <c r="B26" s="12">
        <f>B24*B20+B25*B21*(1-B8)</f>
        <v>0.06364455105767985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187267000000</v>
      </c>
      <c r="C29" s="8" t="s">
        <v>30</v>
      </c>
    </row>
    <row r="30" spans="1:2" x14ac:dyDescent="0.25">
      <c r="A30" t="s">
        <v>31</v>
      </c>
      <c r="B30" s="11">
        <v>127251000000</v>
      </c>
    </row>
    <row r="31" spans="1:2" x14ac:dyDescent="0.25">
      <c r="A31" t="s">
        <v>32</v>
      </c>
      <c r="B31" s="13">
        <v>3979000000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0.05815471849810683</v>
      </c>
      <c r="C5" s="10">
        <f>Assumptions!B6</f>
        <v>0.05815471849810683</v>
      </c>
      <c r="D5" s="10">
        <f>Assumptions!B6</f>
        <v>0.05815471849810683</v>
      </c>
      <c r="E5" s="10">
        <f>Assumptions!B6</f>
        <v>0.05815471849810683</v>
      </c>
      <c r="F5" s="10">
        <f>Assumptions!B6</f>
        <v>0.05815471849810683</v>
      </c>
    </row>
    <row r="6" spans="1:6" x14ac:dyDescent="0.25">
      <c r="A6" t="s">
        <v>43</v>
      </c>
      <c r="B6" s="18">
        <f>Assumptions!B29*(1+B5)</f>
        <v>198157459668.985</v>
      </c>
      <c r="C6" s="18">
        <f>B6*(1+C5)</f>
        <v>209681250954.33478</v>
      </c>
      <c r="D6" s="18">
        <f>C6*(1+D5)</f>
        <v>221875205077.915</v>
      </c>
      <c r="E6" s="18">
        <f>D6*(1+E5)</f>
        <v>234778295170.93088</v>
      </c>
      <c r="F6" s="18">
        <f>E6*(1+F5)</f>
        <v>248431760836.0618</v>
      </c>
    </row>
    <row r="7" spans="1:6" x14ac:dyDescent="0.25">
      <c r="A7" t="s">
        <v>5</v>
      </c>
      <c r="B7" s="10">
        <f>Assumptions!B7</f>
        <v>0.012483698443448337</v>
      </c>
      <c r="C7" s="10">
        <f>Assumptions!B7</f>
        <v>0.012483698443448337</v>
      </c>
      <c r="D7" s="10">
        <f>Assumptions!B7</f>
        <v>0.012483698443448337</v>
      </c>
      <c r="E7" s="10">
        <f>Assumptions!B7</f>
        <v>0.012483698443448337</v>
      </c>
      <c r="F7" s="10">
        <f>Assumptions!B7</f>
        <v>0.012483698443448337</v>
      </c>
    </row>
    <row r="8" spans="1:6" x14ac:dyDescent="0.25">
      <c r="A8" t="s">
        <v>44</v>
      </c>
      <c r="B8" s="18">
        <f>B6*B7</f>
        <v>2473737970.8273845</v>
      </c>
      <c r="C8" s="18">
        <f>C6*C7</f>
        <v>2617597506.1589293</v>
      </c>
      <c r="D8" s="18">
        <f>D6*D7</f>
        <v>2769823152.270948</v>
      </c>
      <c r="E8" s="18">
        <f>E6*E7</f>
        <v>2930901437.980804</v>
      </c>
      <c r="F8" s="18">
        <f>F6*F7</f>
        <v>3101347186.052274</v>
      </c>
    </row>
    <row r="9" spans="1:6" x14ac:dyDescent="0.25">
      <c r="A9" t="s">
        <v>45</v>
      </c>
      <c r="B9" s="18">
        <f>B8*(1-Assumptions!B8)</f>
        <v>2015790349.7935302</v>
      </c>
      <c r="C9" s="18">
        <f>C8*(1-Assumptions!B8)</f>
        <v>2133018070.1369736</v>
      </c>
      <c r="D9" s="18">
        <f>D8*(1-Assumptions!B8)</f>
        <v>2257063135.557164</v>
      </c>
      <c r="E9" s="18">
        <f>E8*(1-Assumptions!B8)</f>
        <v>2388322006.8379455</v>
      </c>
      <c r="F9" s="18">
        <f>F8*(1-Assumptions!B8)</f>
        <v>2527214200.8284397</v>
      </c>
    </row>
    <row r="10" spans="1:6" x14ac:dyDescent="0.25">
      <c r="A10" t="s">
        <v>46</v>
      </c>
      <c r="B10" s="18">
        <f>B6*Assumptions!B9</f>
        <v>9179534724.405731</v>
      </c>
      <c r="C10" s="18">
        <f>C6*Assumptions!B9</f>
        <v>9713367982.247143</v>
      </c>
      <c r="D10" s="18">
        <f>D6*Assumptions!B9</f>
        <v>10278246162.92325</v>
      </c>
      <c r="E10" s="18">
        <f>E6*Assumptions!B9</f>
        <v>10875974675.182299</v>
      </c>
      <c r="F10" s="18">
        <f>F6*Assumptions!B9</f>
        <v>11508463920.810064</v>
      </c>
    </row>
    <row r="11" spans="1:6" x14ac:dyDescent="0.25">
      <c r="A11" t="s">
        <v>47</v>
      </c>
      <c r="B11" s="18">
        <f>-B6*Assumptions!B10</f>
        <v>-9125108865.187063</v>
      </c>
      <c r="C11" s="18">
        <f>-C6*Assumptions!B10</f>
        <v>-9655777002.506596</v>
      </c>
      <c r="D11" s="18">
        <f>-D6*Assumptions!B10</f>
        <v>-10217305995.967861</v>
      </c>
      <c r="E11" s="18">
        <f>-E6*Assumptions!B10</f>
        <v>-10811490549.972391</v>
      </c>
      <c r="F11" s="18">
        <f>-F6*Assumptions!B10</f>
        <v>-11440229739.450977</v>
      </c>
    </row>
    <row r="12" spans="1:6" x14ac:dyDescent="0.25">
      <c r="A12" t="s">
        <v>48</v>
      </c>
      <c r="B12" s="18">
        <f>-(B6-Assumptions!B29)*Assumptions!B11</f>
        <v>2049153642.9768362</v>
      </c>
      <c r="C12" s="18">
        <f>-(C6-B6)*Assumptions!B11</f>
        <v>2168321596.243524</v>
      </c>
      <c r="D12" s="18">
        <f>-(D6-C6)*Assumptions!B11</f>
        <v>2294419728.286429</v>
      </c>
      <c r="E12" s="18">
        <f>-(E6-D6)*Assumptions!B11</f>
        <v>2427851061.7014294</v>
      </c>
      <c r="F12" s="18">
        <f>-(F6-E6)*Assumptions!B11</f>
        <v>2569042056.750006</v>
      </c>
    </row>
    <row r="13" spans="1:6" x14ac:dyDescent="0.25">
      <c r="A13" s="19" t="s">
        <v>49</v>
      </c>
      <c r="B13" s="20">
        <f>B9+B10+B11+B12</f>
        <v>4119369851.9890337</v>
      </c>
      <c r="C13" s="20">
        <f>C9+C10+C11+C12</f>
        <v>4358930646.121046</v>
      </c>
      <c r="D13" s="20">
        <f>D9+D10+D11+D12</f>
        <v>4612423030.798983</v>
      </c>
      <c r="E13" s="20">
        <f>E9+E10+E11+E12</f>
        <v>4880657193.749283</v>
      </c>
      <c r="F13" s="20">
        <f>F9+F10+F11+F12</f>
        <v>5164490438.937532</v>
      </c>
    </row>
    <row r="14" spans="1:6" x14ac:dyDescent="0.25">
      <c r="A14" t="s">
        <v>50</v>
      </c>
      <c r="B14" s="21">
        <f>1/(1+Assumptions!$B$26)^(1-0.5*Assumptions!$B$32)</f>
        <v>0.9696203912819499</v>
      </c>
      <c r="C14" s="21">
        <f>1/(1+Assumptions!$B$26)^(2-0.5*Assumptions!$B$32)</f>
        <v>0.9116018977559438</v>
      </c>
      <c r="D14" s="21">
        <f>1/(1+Assumptions!$B$26)^(3-0.5*Assumptions!$B$32)</f>
        <v>0.8570550160290427</v>
      </c>
      <c r="E14" s="21">
        <f>1/(1+Assumptions!$B$26)^(4-0.5*Assumptions!$B$32)</f>
        <v>0.8057720177072253</v>
      </c>
      <c r="F14" s="21">
        <f>1/(1+Assumptions!$B$26)^(5-0.5*Assumptions!$B$32)</f>
        <v>0.7575576040943113</v>
      </c>
    </row>
    <row r="15" spans="1:6" x14ac:dyDescent="0.25">
      <c r="A15" s="19" t="s">
        <v>51</v>
      </c>
      <c r="B15" s="20">
        <f>B13*B14</f>
        <v>3994225007.720675</v>
      </c>
      <c r="C15" s="20">
        <f>C13*C14</f>
        <v>3973609449.190488</v>
      </c>
      <c r="D15" s="20">
        <f>D13*D14</f>
        <v>3953100294.5941477</v>
      </c>
      <c r="E15" s="20">
        <f>E13*E14</f>
        <v>3932696994.7446437</v>
      </c>
      <c r="F15" s="20">
        <f>F13*F14</f>
        <v>3912399003.289495</v>
      </c>
    </row>
    <row r="17" spans="1:2" x14ac:dyDescent="0.25">
      <c r="A17" s="22" t="s">
        <v>52</v>
      </c>
      <c r="B17" s="23">
        <f>SUM(B15:F15)</f>
        <v>19766030749.539448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5164490438.937532</v>
      </c>
    </row>
    <row r="5" spans="1:2" x14ac:dyDescent="0.25">
      <c r="A5" t="s">
        <v>56</v>
      </c>
      <c r="B5" s="18">
        <f>IF(Assumptions!$B$33=0,B4,B4-Forecast!F11-Forecast!F10-Forecast!F12)</f>
        <v>2527214200.8284397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0.3928066045645129</v>
      </c>
    </row>
    <row r="7" spans="1:2" x14ac:dyDescent="0.25">
      <c r="A7" t="s">
        <v>58</v>
      </c>
      <c r="B7" s="18">
        <f>-MAX(Forecast!F9,0)*B6</f>
        <v>-992706429.2346383</v>
      </c>
    </row>
    <row r="8" spans="1:2" x14ac:dyDescent="0.25">
      <c r="A8" t="s">
        <v>59</v>
      </c>
      <c r="B8" s="18">
        <f>IF(OR(Assumptions!$B$33=0,Assumptions!B12&lt;=0),B5,MAX(B5+B7,0))</f>
        <v>1534507771.5938015</v>
      </c>
    </row>
    <row r="9" spans="1:2" x14ac:dyDescent="0.25">
      <c r="A9" t="s">
        <v>60</v>
      </c>
      <c r="B9" s="18">
        <f>B8*(1+Assumptions!B12)/(Assumptions!B26-Assumptions!B12)</f>
        <v>40700963598.62018</v>
      </c>
    </row>
    <row r="10" spans="1:2" x14ac:dyDescent="0.25">
      <c r="A10" t="s">
        <v>61</v>
      </c>
      <c r="B10" s="18">
        <f>B9/(1+Assumptions!B26)^(5-0.5*Assumptions!B32)</f>
        <v>30833324468.10048</v>
      </c>
    </row>
    <row r="11" spans="1:2" x14ac:dyDescent="0.25">
      <c r="A11" t="s">
        <v>62</v>
      </c>
      <c r="B11" s="18">
        <f>Forecast!B17+B10</f>
        <v>50599355217.63992</v>
      </c>
    </row>
    <row r="12" spans="1:2" x14ac:dyDescent="0.25">
      <c r="A12" t="s">
        <v>63</v>
      </c>
      <c r="B12" s="18">
        <f>-Assumptions!B30</f>
        <v>-127251000000</v>
      </c>
    </row>
    <row r="13" spans="1:2" x14ac:dyDescent="0.25">
      <c r="A13" t="s">
        <v>64</v>
      </c>
      <c r="B13" s="18">
        <f>B11+B12</f>
        <v>-76651644782.36008</v>
      </c>
    </row>
    <row r="14" spans="1:2" x14ac:dyDescent="0.25">
      <c r="A14" s="19" t="s">
        <v>65</v>
      </c>
      <c r="B14" s="24">
        <f>B13/Assumptions!B31</f>
        <v>-19.26404744467456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14609811106.862339</v>
      </c>
    </row>
    <row r="18" spans="1:2" x14ac:dyDescent="0.25">
      <c r="A18" t="s">
        <v>60</v>
      </c>
      <c r="B18" s="18">
        <f>B17*Assumptions!B13</f>
        <v>292196222137.24677</v>
      </c>
    </row>
    <row r="19" spans="1:2" x14ac:dyDescent="0.25">
      <c r="A19" t="s">
        <v>61</v>
      </c>
      <c r="B19" s="18">
        <f>B18/(1+Assumptions!B26)^(5-0.5*Assumptions!B32)</f>
        <v>221355469967.7018</v>
      </c>
    </row>
    <row r="20" spans="1:2" x14ac:dyDescent="0.25">
      <c r="A20" t="s">
        <v>62</v>
      </c>
      <c r="B20" s="18">
        <f>Forecast!B17+B19</f>
        <v>241121500717.24127</v>
      </c>
    </row>
    <row r="21" spans="1:2" x14ac:dyDescent="0.25">
      <c r="A21" t="s">
        <v>63</v>
      </c>
      <c r="B21" s="18">
        <f>-Assumptions!B30</f>
        <v>-127251000000</v>
      </c>
    </row>
    <row r="22" spans="1:2" x14ac:dyDescent="0.25">
      <c r="A22" t="s">
        <v>64</v>
      </c>
      <c r="B22" s="18">
        <f>B20+B21</f>
        <v>113870500717.24127</v>
      </c>
    </row>
    <row r="23" spans="1:2" x14ac:dyDescent="0.25">
      <c r="A23" s="19" t="s">
        <v>65</v>
      </c>
      <c r="B23" s="25">
        <f>B22/Assumptions!B31</f>
        <v>28.617868991515778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13.21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-19.26404744467456</v>
      </c>
    </row>
    <row r="29" spans="1:2" x14ac:dyDescent="0.25">
      <c r="A29" s="19" t="s">
        <v>73</v>
      </c>
      <c r="B29" s="12">
        <f>B28/B26-1</f>
        <v>-2.4582927664401635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0.043645</v>
      </c>
      <c r="B5" s="31">
        <v>-14.583360823358943</v>
      </c>
      <c r="C5" s="31">
        <v>-14.523324230846688</v>
      </c>
      <c r="D5" s="31">
        <v>-14.463287638334434</v>
      </c>
      <c r="E5" s="31">
        <v>-14.403251045822177</v>
      </c>
      <c r="F5" s="31">
        <v>-14.343214453309926</v>
      </c>
    </row>
    <row r="6" spans="1:6" x14ac:dyDescent="0.25">
      <c r="A6" s="30">
        <v>0.053645</v>
      </c>
      <c r="B6" s="31">
        <v>-17.39534528384894</v>
      </c>
      <c r="C6" s="31">
        <v>-17.348551897950355</v>
      </c>
      <c r="D6" s="31">
        <v>-17.30175851205177</v>
      </c>
      <c r="E6" s="31">
        <v>-17.254965126153188</v>
      </c>
      <c r="F6" s="31">
        <v>-17.2081717402546</v>
      </c>
    </row>
    <row r="7" spans="1:6" x14ac:dyDescent="0.25">
      <c r="A7" s="30">
        <v>0.063645</v>
      </c>
      <c r="B7" s="31">
        <v>-19.339721497398315</v>
      </c>
      <c r="C7" s="31">
        <v>-19.301921770280416</v>
      </c>
      <c r="D7" s="32">
        <v>-19.264122043162516</v>
      </c>
      <c r="E7" s="31">
        <v>-19.226322316044612</v>
      </c>
      <c r="F7" s="31">
        <v>-19.188522588926716</v>
      </c>
    </row>
    <row r="8" spans="1:6" x14ac:dyDescent="0.25">
      <c r="A8" s="30">
        <v>0.073645</v>
      </c>
      <c r="B8" s="31">
        <v>-20.769076462662117</v>
      </c>
      <c r="C8" s="31">
        <v>-20.737756468291845</v>
      </c>
      <c r="D8" s="31">
        <v>-20.70643647392158</v>
      </c>
      <c r="E8" s="31">
        <v>-20.675116479551313</v>
      </c>
      <c r="F8" s="31">
        <v>-20.643796485181042</v>
      </c>
    </row>
    <row r="9" spans="1:6" x14ac:dyDescent="0.25">
      <c r="A9" s="30">
        <v>0.083645</v>
      </c>
      <c r="B9" s="31">
        <v>-21.867437406873204</v>
      </c>
      <c r="C9" s="31">
        <v>-21.84098857528031</v>
      </c>
      <c r="D9" s="31">
        <v>-21.814539743687416</v>
      </c>
      <c r="E9" s="31">
        <v>-21.78809091209452</v>
      </c>
      <c r="F9" s="31">
        <v>-21.76164208050163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187267000000</v>
      </c>
      <c r="C5" s="18">
        <v>184992000000</v>
      </c>
      <c r="D5" s="18">
        <v>176191000000</v>
      </c>
      <c r="E5" s="18">
        <v>158057000000</v>
      </c>
      <c r="F5" s="8" t="s">
        <v>84</v>
      </c>
    </row>
    <row r="6" spans="1:6" x14ac:dyDescent="0.25">
      <c r="A6" t="s">
        <v>44</v>
      </c>
      <c r="B6" s="18">
        <v>-9169000000</v>
      </c>
      <c r="C6" s="18">
        <v>5219000000</v>
      </c>
      <c r="D6" s="18">
        <v>5458000000</v>
      </c>
      <c r="E6" s="18">
        <v>6276000000</v>
      </c>
      <c r="F6" s="8" t="s">
        <v>85</v>
      </c>
    </row>
    <row r="7" spans="1:6" x14ac:dyDescent="0.25">
      <c r="A7" t="s">
        <v>86</v>
      </c>
      <c r="B7" s="18">
        <v>14135000000</v>
      </c>
      <c r="C7" s="18">
        <v>5867000000</v>
      </c>
      <c r="D7" s="18">
        <v>6523000000</v>
      </c>
      <c r="E7" s="18">
        <v>6493000000</v>
      </c>
      <c r="F7" s="8" t="s">
        <v>87</v>
      </c>
    </row>
    <row r="8" spans="1:6" x14ac:dyDescent="0.25">
      <c r="A8" t="s">
        <v>88</v>
      </c>
      <c r="B8" s="18">
        <v>8815000000</v>
      </c>
      <c r="C8" s="18">
        <v>8684000000</v>
      </c>
      <c r="D8" s="18">
        <v>8236000000</v>
      </c>
      <c r="E8" s="18">
        <v>6866000000</v>
      </c>
      <c r="F8" s="8" t="s">
        <v>89</v>
      </c>
    </row>
    <row r="9" spans="1:6" x14ac:dyDescent="0.25">
      <c r="A9" t="s">
        <v>90</v>
      </c>
      <c r="B9" s="18">
        <v>-12843000000</v>
      </c>
      <c r="C9" s="18">
        <v>-1656000000</v>
      </c>
      <c r="D9" s="18">
        <v>-1163000000</v>
      </c>
      <c r="E9" s="18">
        <v>7051000000</v>
      </c>
      <c r="F9" s="8" t="s">
        <v>91</v>
      </c>
    </row>
    <row r="10" spans="1:6" x14ac:dyDescent="0.25">
      <c r="A10" t="s">
        <v>92</v>
      </c>
      <c r="B10" s="18">
        <v>165738000000</v>
      </c>
      <c r="C10" s="18">
        <v>160862000000</v>
      </c>
      <c r="D10" s="18">
        <v>151107000000</v>
      </c>
      <c r="E10" s="18">
        <v>140474000000</v>
      </c>
      <c r="F10" s="8" t="s">
        <v>93</v>
      </c>
    </row>
    <row r="11" spans="1:6" x14ac:dyDescent="0.25">
      <c r="A11" t="s">
        <v>94</v>
      </c>
      <c r="B11" s="18">
        <v>38487000000</v>
      </c>
      <c r="C11" s="18">
        <v>38348000000</v>
      </c>
      <c r="D11" s="18">
        <v>40171000000</v>
      </c>
      <c r="E11" s="18">
        <v>44070000000</v>
      </c>
      <c r="F11" s="8" t="s">
        <v>95</v>
      </c>
    </row>
    <row r="12" spans="1:6" x14ac:dyDescent="0.25">
      <c r="A12" t="s">
        <v>32</v>
      </c>
      <c r="B12" s="34">
        <v>3979000000</v>
      </c>
      <c r="C12" s="34">
        <v>4021000000</v>
      </c>
      <c r="D12" s="34">
        <v>4041000000</v>
      </c>
      <c r="E12" s="34">
        <v>4014000000</v>
      </c>
      <c r="F12" s="8" t="s">
        <v>96</v>
      </c>
    </row>
    <row r="15" spans="1:1" x14ac:dyDescent="0.25">
      <c r="A15" s="19" t="s">
        <v>97</v>
      </c>
    </row>
    <row r="16" ht="38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2026-09-19T01:03:04Z</dcterms:modified>
</cp:coreProperties>
</file>