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<sst xmlns="http://schemas.openxmlformats.org/spreadsheetml/2006/main" count="116" uniqueCount="103">
  <si>
    <t>Wilmar International Limited (F34.SI)</t>
  </si>
  <si>
    <t>DCF Studio - Base case</t>
  </si>
  <si>
    <t>Blue figures on a cream fill are inputs. Every other figure is a formula - change an input and the model reprices. Currency figures are USD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</si>
  <si>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</si>
  <si>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</si>
  <si>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</si>
  <si>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</si>
  <si>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</si>
  <si>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</si>
  <si>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</si>
  <si>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</si>
  <si>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</si>
  <si>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</si>
  <si>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Floored at WACC (reported ROIC below cost of capital)</t>
  </si>
  <si>
    <t>Discount rate</t>
  </si>
  <si>
    <t>Risk-free rate</t>
  </si>
  <si>
    <t>USD assumption - no free live source available for this market</t>
  </si>
  <si>
    <t>Equity risk premium</t>
  </si>
  <si>
    <t>Beta</t>
  </si>
  <si>
    <t>As reported</t>
  </si>
  <si>
    <t>Cost of equity</t>
  </si>
  <si>
    <t>Cost of debt</t>
  </si>
  <si>
    <t>Floored at the risk-free rate (implied cost of debt was lower)</t>
  </si>
  <si>
    <t>Market capitalisation (USD m)</t>
  </si>
  <si>
    <t>Total debt (USD m)</t>
  </si>
  <si>
    <t>Equity weight</t>
  </si>
  <si>
    <t>Debt weight</t>
  </si>
  <si>
    <t>WACC</t>
  </si>
  <si>
    <t>Base year</t>
  </si>
  <si>
    <t>Revenue, last reported year (USD m)</t>
  </si>
  <si>
    <t>Fiscal year ended 2025-12-31</t>
  </si>
  <si>
    <t>Net debt (USD m)</t>
  </si>
  <si>
    <t>Diluted shares</t>
  </si>
  <si>
    <t>Mid-year discounting (1 = yes, 0 = no)</t>
  </si>
  <si>
    <t>Terminal year on a steady-state footing (1 = yes, 0 = no)</t>
  </si>
  <si>
    <t>Forecast cashflows (USD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</si>
  <si>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</si>
  <si>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</si>
  <si>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</si>
  <si>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</si>
  <si>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</si>
  <si>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</si>
  <si>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</si>
  <si>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</si>
  <si>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</si>
  <si>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</si>
  <si>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</si>
  <si>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</si>
  <si>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</si>
  <si>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</si>
  <si>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</si>
  <si>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</si>
  <si>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</si>
  <si>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(USD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</si>
  <si>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</si>
  <si>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</si>
  <si>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</si>
  <si>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</si>
  <si>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</si>
  <si>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</si>
  <si>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</si>
  <si>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</si>
  <si>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</si>
  <si>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</si>
  <si>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</si>
  <si>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</si>
  <si>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</si>
  <si>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</si>
  <si>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</si>
  <si>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(SGD)</t>
  </si>
  <si>
    <t>Conversion, USD to SGD</t>
  </si>
  <si>
    <t>USD/SGD at 1.2757</t>
  </si>
  <si>
    <t>Value per share (SGD)</t>
  </si>
  <si>
    <t>Implied upside</t>
  </si>
  <si>
    <t>Value per share (USD)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</si>
  <si>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</si>
  <si>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n/a</t>
  </si>
  <si>
    <t>Reported history and provenance (USD m, except shares)</t>
  </si>
  <si>
    <t>What the model was built from. "derived" means the figure was not reported and was computed - the note says how.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</si>
  <si>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</si>
  <si>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</si>
  <si>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</si>
  <si>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</si>
  <si>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</si>
  <si>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</si>
  <si>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</si>
  <si>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</si>
  <si>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</si>
  <si>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</si>
  <si>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</si>
  <si>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</si>
  <si>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</si>
  <si>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</si>
  <si>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</si>
  <si>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</si>
  <si>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</si>
  <si>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</si>
  <si>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</si>
  <si>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</si>
  <si>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Adjusted: Reports in USD, trades in SGD. Modelled in USD, converted at the end.</t>
  </si>
  <si>
    <t>Adjusted: Capital expenditure runs at 2.6% of revenue against depreciation of 1.8%. A perpetuity has to be a steady state, so the terminal year uses maintenance capex at depreciation and then charges the reinvestment terminal growth requires (g/ROIC of NOPAT). The bridge is shown under Terminal Value.</t>
  </si>
  <si>
    <t>Note: Risk-free rate is an assumption: USD assumption - no free live source available for this market.</t>
  </si>
  <si>
    <t>Data: Yahoo Finance. Risk-free rate: USD assumption - no free live source available for this market.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</si>
</sst>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-0.013736042110466196</v>
      </c>
    </row>
    <row r="7" spans="1:2" x14ac:dyDescent="0.25">
      <c r="A7" t="s">
        <v>5</v>
      </c>
      <c r="B7" s="6">
        <v>0.03322203436650416</v>
      </c>
    </row>
    <row r="8" spans="1:2" x14ac:dyDescent="0.25">
      <c r="A8" t="s">
        <v>6</v>
      </c>
      <c r="B8" s="6">
        <v>0.21522237902378422</v>
      </c>
    </row>
    <row r="9" spans="1:2" x14ac:dyDescent="0.25">
      <c r="A9" t="s">
        <v>7</v>
      </c>
      <c r="B9" s="6">
        <v>0.01821482490366253</v>
      </c>
    </row>
    <row r="10" spans="1:2" x14ac:dyDescent="0.25">
      <c r="A10" t="s">
        <v>8</v>
      </c>
      <c r="B10" s="6">
        <v>0.026356642879748794</v>
      </c>
    </row>
    <row r="11" spans="1:2" x14ac:dyDescent="0.25">
      <c r="A11" t="s">
        <v>9</v>
      </c>
      <c r="B11" s="6">
        <v>0.35144434866811647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14.465779833225971</v>
      </c>
    </row>
    <row r="14" spans="1:3" x14ac:dyDescent="0.25">
      <c r="A14" t="s">
        <v>12</v>
      </c>
      <c r="B14" s="6">
        <v>0.047928976164394066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0.042</v>
      </c>
      <c r="C17" s="8" t="s">
        <v>16</v>
      </c>
    </row>
    <row r="18" spans="1:2" x14ac:dyDescent="0.25">
      <c r="A18" t="s">
        <v>17</v>
      </c>
      <c r="B18" s="6">
        <v>0.065</v>
      </c>
    </row>
    <row r="19" spans="1:3" x14ac:dyDescent="0.25">
      <c r="A19" t="s">
        <v>18</v>
      </c>
      <c r="B19" s="9">
        <v>0.40302999999999994</v>
      </c>
      <c r="C19" s="8" t="s">
        <v>19</v>
      </c>
    </row>
    <row r="20" spans="1:2" x14ac:dyDescent="0.25">
      <c r="A20" t="s">
        <v>20</v>
      </c>
      <c r="B20" s="10">
        <f>B17+B19*B18</f>
        <v>0.06819695</v>
      </c>
    </row>
    <row r="21" spans="1:3" x14ac:dyDescent="0.25">
      <c r="A21" t="s">
        <v>21</v>
      </c>
      <c r="B21" s="6">
        <v>0.042</v>
      </c>
      <c r="C21" s="8" t="s">
        <v>22</v>
      </c>
    </row>
    <row r="22" spans="1:2" x14ac:dyDescent="0.25">
      <c r="A22" t="s">
        <v>23</v>
      </c>
      <c r="B22" s="11">
        <v>22977032192</v>
      </c>
    </row>
    <row r="23" spans="1:2" x14ac:dyDescent="0.25">
      <c r="A23" t="s">
        <v>24</v>
      </c>
      <c r="B23" s="11">
        <v>31112243000</v>
      </c>
    </row>
    <row r="24" spans="1:2" x14ac:dyDescent="0.25">
      <c r="A24" t="s">
        <v>25</v>
      </c>
      <c r="B24" s="10">
        <f>B22/(B22+B23)</f>
        <v>0.4247983007803067</v>
      </c>
    </row>
    <row r="25" spans="1:2" x14ac:dyDescent="0.25">
      <c r="A25" t="s">
        <v>26</v>
      </c>
      <c r="B25" s="10">
        <f>1-B24</f>
        <v>0.5752016992196933</v>
      </c>
    </row>
    <row r="26" spans="1:2" x14ac:dyDescent="0.25">
      <c r="A26" t="s">
        <v>27</v>
      </c>
      <c r="B26" s="12">
        <f>B24*B20+B25*B21*(1-B8)</f>
        <v>0.047928976164394066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70415698000</v>
      </c>
      <c r="C29" s="8" t="s">
        <v>30</v>
      </c>
    </row>
    <row r="30" spans="1:2" x14ac:dyDescent="0.25">
      <c r="A30" t="s">
        <v>31</v>
      </c>
      <c r="B30" s="11">
        <v>20206749000</v>
      </c>
    </row>
    <row r="31" spans="1:2" x14ac:dyDescent="0.25">
      <c r="A31" t="s">
        <v>32</v>
      </c>
      <c r="B31" s="13">
        <v>6242733000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-0.013736042110466196</v>
      </c>
      <c r="C5" s="10">
        <f>Assumptions!B6</f>
        <v>-0.013736042110466196</v>
      </c>
      <c r="D5" s="10">
        <f>Assumptions!B6</f>
        <v>-0.013736042110466196</v>
      </c>
      <c r="E5" s="10">
        <f>Assumptions!B6</f>
        <v>-0.013736042110466196</v>
      </c>
      <c r="F5" s="10">
        <f>Assumptions!B6</f>
        <v>-0.013736042110466196</v>
      </c>
    </row>
    <row r="6" spans="1:6" x14ac:dyDescent="0.25">
      <c r="A6" t="s">
        <v>43</v>
      </c>
      <c r="B6" s="18">
        <f>Assumptions!B29*(1+B5)</f>
        <v>69448465007.03413</v>
      </c>
      <c r="C6" s="18">
        <f>B6*(1+C5)</f>
        <v>68494517967.19028</v>
      </c>
      <c r="D6" s="18">
        <f>C6*(1+D5)</f>
        <v>67553674384.05687</v>
      </c>
      <c r="E6" s="18">
        <f>D6*(1+E5)</f>
        <v>66625754268.00074</v>
      </c>
      <c r="F6" s="18">
        <f>E6*(1+F5)</f>
        <v>65710580101.73391</v>
      </c>
    </row>
    <row r="7" spans="1:6" x14ac:dyDescent="0.25">
      <c r="A7" t="s">
        <v>5</v>
      </c>
      <c r="B7" s="10">
        <f>Assumptions!B7</f>
        <v>0.03322203436650416</v>
      </c>
      <c r="C7" s="10">
        <f>Assumptions!B7</f>
        <v>0.03322203436650416</v>
      </c>
      <c r="D7" s="10">
        <f>Assumptions!B7</f>
        <v>0.03322203436650416</v>
      </c>
      <c r="E7" s="10">
        <f>Assumptions!B7</f>
        <v>0.03322203436650416</v>
      </c>
      <c r="F7" s="10">
        <f>Assumptions!B7</f>
        <v>0.03322203436650416</v>
      </c>
    </row>
    <row r="8" spans="1:6" x14ac:dyDescent="0.25">
      <c r="A8" t="s">
        <v>44</v>
      </c>
      <c r="B8" s="18">
        <f>B6*B7</f>
        <v>2307219291.1646495</v>
      </c>
      <c r="C8" s="18">
        <f>C6*C7</f>
        <v>2275527229.823132</v>
      </c>
      <c r="D8" s="18">
        <f>D6*D7</f>
        <v>2244270491.970769</v>
      </c>
      <c r="E8" s="18">
        <f>E6*E7</f>
        <v>2213443097.9857817</v>
      </c>
      <c r="F8" s="18">
        <f>F6*F7</f>
        <v>2183039150.382728</v>
      </c>
    </row>
    <row r="9" spans="1:6" x14ac:dyDescent="0.25">
      <c r="A9" t="s">
        <v>45</v>
      </c>
      <c r="B9" s="18">
        <f>B8*(1-Assumptions!B8)</f>
        <v>1810654066.3906248</v>
      </c>
      <c r="C9" s="18">
        <f>C8*(1-Assumptions!B8)</f>
        <v>1785782845.8871963</v>
      </c>
      <c r="D9" s="18">
        <f>D8*(1-Assumptions!B8)</f>
        <v>1761253257.5159416</v>
      </c>
      <c r="E9" s="18">
        <f>E8*(1-Assumptions!B8)</f>
        <v>1737060608.6035068</v>
      </c>
      <c r="F9" s="18">
        <f>F8*(1-Assumptions!B8)</f>
        <v>1713200270.9352968</v>
      </c>
    </row>
    <row r="10" spans="1:6" x14ac:dyDescent="0.25">
      <c r="A10" t="s">
        <v>46</v>
      </c>
      <c r="B10" s="18">
        <f>B6*Assumptions!B9</f>
        <v>1264991629.9312613</v>
      </c>
      <c r="C10" s="18">
        <f>C6*Assumptions!B9</f>
        <v>1247615651.6331382</v>
      </c>
      <c r="D10" s="18">
        <f>D6*Assumptions!B9</f>
        <v>1230478350.5046287</v>
      </c>
      <c r="E10" s="18">
        <f>E6*Assumptions!B9</f>
        <v>1213576448.06608</v>
      </c>
      <c r="F10" s="18">
        <f>F6*Assumptions!B9</f>
        <v>1196906710.8711743</v>
      </c>
    </row>
    <row r="11" spans="1:6" x14ac:dyDescent="0.25">
      <c r="A11" t="s">
        <v>47</v>
      </c>
      <c r="B11" s="18">
        <f>-B6*Assumptions!B10</f>
        <v>-1830428390.7371294</v>
      </c>
      <c r="C11" s="18">
        <f>-C6*Assumptions!B10</f>
        <v>-1805285549.2817714</v>
      </c>
      <c r="D11" s="18">
        <f>-D6*Assumptions!B10</f>
        <v>-1780488070.955421</v>
      </c>
      <c r="E11" s="18">
        <f>-E6*Assumptions!B10</f>
        <v>-1756031211.8355947</v>
      </c>
      <c r="F11" s="18">
        <f>-F6*Assumptions!B10</f>
        <v>-1731910293.1625278</v>
      </c>
    </row>
    <row r="12" spans="1:6" x14ac:dyDescent="0.25">
      <c r="A12" t="s">
        <v>48</v>
      </c>
      <c r="B12" s="18">
        <f>-(B6-Assumptions!B29)*Assumptions!B11</f>
        <v>339928569.2232017</v>
      </c>
      <c r="C12" s="18">
        <f>-(C6-B6)*Assumptions!B11</f>
        <v>335259296.081802</v>
      </c>
      <c r="D12" s="18">
        <f>-(D6-C6)*Assumptions!B11</f>
        <v>330654160.2728973</v>
      </c>
      <c r="E12" s="18">
        <f>-(E6-D6)*Assumptions!B11</f>
        <v>326112280.80338943</v>
      </c>
      <c r="F12" s="18">
        <f>-(F6-E6)*Assumptions!B11</f>
        <v>321632788.78153276</v>
      </c>
    </row>
    <row r="13" spans="1:6" x14ac:dyDescent="0.25">
      <c r="A13" s="19" t="s">
        <v>49</v>
      </c>
      <c r="B13" s="20">
        <f>B9+B10+B11+B12</f>
        <v>1585145874.8079584</v>
      </c>
      <c r="C13" s="20">
        <f>C9+C10+C11+C12</f>
        <v>1563372244.320365</v>
      </c>
      <c r="D13" s="20">
        <f>D9+D10+D11+D12</f>
        <v>1541897697.3380466</v>
      </c>
      <c r="E13" s="20">
        <f>E9+E10+E11+E12</f>
        <v>1520718125.637382</v>
      </c>
      <c r="F13" s="20">
        <f>F9+F10+F11+F12</f>
        <v>1499829477.4254758</v>
      </c>
    </row>
    <row r="14" spans="1:6" x14ac:dyDescent="0.25">
      <c r="A14" t="s">
        <v>50</v>
      </c>
      <c r="B14" s="21">
        <f>1/(1+Assumptions!$B$26)^(1-0.5*Assumptions!$B$32)</f>
        <v>0.9768639334590226</v>
      </c>
      <c r="C14" s="21">
        <f>1/(1+Assumptions!$B$26)^(2-0.5*Assumptions!$B$32)</f>
        <v>0.9321852488844405</v>
      </c>
      <c r="D14" s="21">
        <f>1/(1+Assumptions!$B$26)^(3-0.5*Assumptions!$B$32)</f>
        <v>0.8895500268504876</v>
      </c>
      <c r="E14" s="21">
        <f>1/(1+Assumptions!$B$26)^(4-0.5*Assumptions!$B$32)</f>
        <v>0.8488648058062089</v>
      </c>
      <c r="F14" s="21">
        <f>1/(1+Assumptions!$B$26)^(5-0.5*Assumptions!$B$32)</f>
        <v>0.8100403988381013</v>
      </c>
    </row>
    <row r="15" spans="1:6" x14ac:dyDescent="0.25">
      <c r="A15" s="19" t="s">
        <v>51</v>
      </c>
      <c r="B15" s="20">
        <f>B13*B14</f>
        <v>1548471834.3712456</v>
      </c>
      <c r="C15" s="20">
        <f>C13*C14</f>
        <v>1457352544.6708057</v>
      </c>
      <c r="D15" s="20">
        <f>D13*D14</f>
        <v>1371595138.0677643</v>
      </c>
      <c r="E15" s="20">
        <f>E13*E14</f>
        <v>1290884096.4051583</v>
      </c>
      <c r="F15" s="20">
        <f>F13*F14</f>
        <v>1214922468.0828736</v>
      </c>
    </row>
    <row r="17" spans="1:2" x14ac:dyDescent="0.25">
      <c r="A17" s="22" t="s">
        <v>52</v>
      </c>
      <c r="B17" s="23">
        <f>SUM(B15:F15)</f>
        <v>6883226081.597847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1499829477.4254758</v>
      </c>
    </row>
    <row r="5" spans="1:2" x14ac:dyDescent="0.25">
      <c r="A5" t="s">
        <v>56</v>
      </c>
      <c r="B5" s="18">
        <f>IF(Assumptions!$B$33=0,B4,B4-Forecast!F11-Forecast!F10-Forecast!F12)</f>
        <v>1714338054.3764787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0.5216051332757706</v>
      </c>
    </row>
    <row r="7" spans="1:2" x14ac:dyDescent="0.25">
      <c r="A7" t="s">
        <v>58</v>
      </c>
      <c r="B7" s="18">
        <f>-MAX(Forecast!F9,0)*B6</f>
        <v>-894207529.3327684</v>
      </c>
    </row>
    <row r="8" spans="1:2" x14ac:dyDescent="0.25">
      <c r="A8" t="s">
        <v>59</v>
      </c>
      <c r="B8" s="18">
        <f>IF(OR(Assumptions!$B$33=0,Assumptions!B12&lt;=0),B5,MAX(B5+B7,0))</f>
        <v>820130525.0437102</v>
      </c>
    </row>
    <row r="9" spans="1:2" x14ac:dyDescent="0.25">
      <c r="A9" t="s">
        <v>60</v>
      </c>
      <c r="B9" s="18">
        <f>B8*(1+Assumptions!B12)/(Assumptions!B26-Assumptions!B12)</f>
        <v>36662508702.64351</v>
      </c>
    </row>
    <row r="10" spans="1:2" x14ac:dyDescent="0.25">
      <c r="A10" t="s">
        <v>61</v>
      </c>
      <c r="B10" s="18">
        <f>B9/(1+Assumptions!B26)^(5-0.5*Assumptions!B32)</f>
        <v>29698113171.894707</v>
      </c>
    </row>
    <row r="11" spans="1:2" x14ac:dyDescent="0.25">
      <c r="A11" t="s">
        <v>62</v>
      </c>
      <c r="B11" s="18">
        <f>Forecast!B17+B10</f>
        <v>36581339253.49255</v>
      </c>
    </row>
    <row r="12" spans="1:2" x14ac:dyDescent="0.25">
      <c r="A12" t="s">
        <v>63</v>
      </c>
      <c r="B12" s="18">
        <f>-Assumptions!B30</f>
        <v>-20206749000</v>
      </c>
    </row>
    <row r="13" spans="1:2" x14ac:dyDescent="0.25">
      <c r="A13" t="s">
        <v>64</v>
      </c>
      <c r="B13" s="18">
        <f>B11+B12</f>
        <v>16374590253.492554</v>
      </c>
    </row>
    <row r="14" spans="1:2" x14ac:dyDescent="0.25">
      <c r="A14" s="19" t="s">
        <v>65</v>
      </c>
      <c r="B14" s="24">
        <f>B13/Assumptions!B31</f>
        <v>2.62298423679061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3379945861.2539024</v>
      </c>
    </row>
    <row r="18" spans="1:2" x14ac:dyDescent="0.25">
      <c r="A18" t="s">
        <v>60</v>
      </c>
      <c r="B18" s="18">
        <f>B17*Assumptions!B13</f>
        <v>48893552677.12229</v>
      </c>
    </row>
    <row r="19" spans="1:2" x14ac:dyDescent="0.25">
      <c r="A19" t="s">
        <v>61</v>
      </c>
      <c r="B19" s="18">
        <f>B18/(1+Assumptions!B26)^(5-0.5*Assumptions!B32)</f>
        <v>39605752911.18786</v>
      </c>
    </row>
    <row r="20" spans="1:2" x14ac:dyDescent="0.25">
      <c r="A20" t="s">
        <v>62</v>
      </c>
      <c r="B20" s="18">
        <f>Forecast!B17+B19</f>
        <v>46488978992.785706</v>
      </c>
    </row>
    <row r="21" spans="1:2" x14ac:dyDescent="0.25">
      <c r="A21" t="s">
        <v>63</v>
      </c>
      <c r="B21" s="18">
        <f>-Assumptions!B30</f>
        <v>-20206749000</v>
      </c>
    </row>
    <row r="22" spans="1:2" x14ac:dyDescent="0.25">
      <c r="A22" t="s">
        <v>64</v>
      </c>
      <c r="B22" s="18">
        <f>B20+B21</f>
        <v>26282229992.785706</v>
      </c>
    </row>
    <row r="23" spans="1:2" x14ac:dyDescent="0.25">
      <c r="A23" s="19" t="s">
        <v>65</v>
      </c>
      <c r="B23" s="25">
        <f>B22/Assumptions!B31</f>
        <v>4.210051910402977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3.68</v>
      </c>
    </row>
    <row r="27" spans="1:3" x14ac:dyDescent="0.25">
      <c r="A27" t="s">
        <v>70</v>
      </c>
      <c r="B27" s="27">
        <v>1.2757</v>
      </c>
      <c r="C27" s="8" t="s">
        <v>71</v>
      </c>
    </row>
    <row r="28" spans="1:2" x14ac:dyDescent="0.25">
      <c r="A28" t="s">
        <v>72</v>
      </c>
      <c r="B28" s="28">
        <f>B14*B27</f>
        <v>3.3461409908737814</v>
      </c>
    </row>
    <row r="29" spans="1:2" x14ac:dyDescent="0.25">
      <c r="A29" s="19" t="s">
        <v>73</v>
      </c>
      <c r="B29" s="12">
        <f>B28/B26-1</f>
        <v>-0.09072255682777686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0.027929</v>
      </c>
      <c r="B5" s="31">
        <v>8.733466597773038</v>
      </c>
      <c r="C5" s="31">
        <v>11.145415946935444</v>
      </c>
      <c r="D5" s="31">
        <v>21.672783194834206</v>
      </c>
      <c r="E5" s="31" t="s">
        <v>76</v>
      </c>
      <c r="F5" s="31" t="s">
        <v>76</v>
      </c>
    </row>
    <row r="6" spans="1:6" x14ac:dyDescent="0.25">
      <c r="A6" s="30">
        <v>0.037929</v>
      </c>
      <c r="B6" s="31">
        <v>4.106595113260369</v>
      </c>
      <c r="C6" s="31">
        <v>4.137212344038059</v>
      </c>
      <c r="D6" s="31">
        <v>4.167829574815747</v>
      </c>
      <c r="E6" s="31">
        <v>4.198446805593435</v>
      </c>
      <c r="F6" s="31">
        <v>6.098369844992202</v>
      </c>
    </row>
    <row r="7" spans="1:6" x14ac:dyDescent="0.25">
      <c r="A7" s="30">
        <v>0.047929</v>
      </c>
      <c r="B7" s="31">
        <v>2.5765693577456426</v>
      </c>
      <c r="C7" s="31">
        <v>2.599775341065473</v>
      </c>
      <c r="D7" s="32">
        <v>2.622981324385301</v>
      </c>
      <c r="E7" s="31">
        <v>2.646187307705132</v>
      </c>
      <c r="F7" s="31">
        <v>2.6693932910249614</v>
      </c>
    </row>
    <row r="8" spans="1:6" x14ac:dyDescent="0.25">
      <c r="A8" s="30">
        <v>0.057929</v>
      </c>
      <c r="B8" s="31">
        <v>1.5757615711175978</v>
      </c>
      <c r="C8" s="31">
        <v>1.5941583304881621</v>
      </c>
      <c r="D8" s="31">
        <v>1.6125550898587266</v>
      </c>
      <c r="E8" s="31">
        <v>1.6309518492292916</v>
      </c>
      <c r="F8" s="31">
        <v>1.6493486085998552</v>
      </c>
    </row>
    <row r="9" spans="1:6" x14ac:dyDescent="0.25">
      <c r="A9" s="30">
        <v>0.067929</v>
      </c>
      <c r="B9" s="31">
        <v>0.8703936352488375</v>
      </c>
      <c r="C9" s="31">
        <v>0.885431832517862</v>
      </c>
      <c r="D9" s="31">
        <v>0.9004700297868852</v>
      </c>
      <c r="E9" s="31">
        <v>0.9155082270559083</v>
      </c>
      <c r="F9" s="31">
        <v>0.9305464243249322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77</v>
      </c>
    </row>
    <row r="2" spans="1:1" x14ac:dyDescent="0.25">
      <c r="A2" s="3" t="s">
        <v>78</v>
      </c>
    </row>
    <row r="4" spans="1:6" x14ac:dyDescent="0.25">
      <c r="A4" s="16" t="s">
        <v>79</v>
      </c>
      <c r="B4" s="17" t="s">
        <v>80</v>
      </c>
      <c r="C4" s="17" t="s">
        <v>81</v>
      </c>
      <c r="D4" s="17" t="s">
        <v>82</v>
      </c>
      <c r="E4" s="17" t="s">
        <v>83</v>
      </c>
      <c r="F4" s="33" t="s">
        <v>84</v>
      </c>
    </row>
    <row r="5" spans="1:6" x14ac:dyDescent="0.25">
      <c r="A5" t="s">
        <v>43</v>
      </c>
      <c r="B5" s="18">
        <v>70415698000</v>
      </c>
      <c r="C5" s="18">
        <v>67379083000</v>
      </c>
      <c r="D5" s="18">
        <v>67155262000</v>
      </c>
      <c r="E5" s="18">
        <v>73398976000</v>
      </c>
      <c r="F5" s="8" t="s">
        <v>85</v>
      </c>
    </row>
    <row r="6" spans="1:6" x14ac:dyDescent="0.25">
      <c r="A6" t="s">
        <v>44</v>
      </c>
      <c r="B6" s="18">
        <v>1597332000</v>
      </c>
      <c r="C6" s="18">
        <v>2208629000</v>
      </c>
      <c r="D6" s="18">
        <v>2170004000</v>
      </c>
      <c r="E6" s="18">
        <v>3311133000</v>
      </c>
      <c r="F6" s="8" t="s">
        <v>86</v>
      </c>
    </row>
    <row r="7" spans="1:6" x14ac:dyDescent="0.25">
      <c r="A7" t="s">
        <v>87</v>
      </c>
      <c r="B7" s="18">
        <v>1387905000</v>
      </c>
      <c r="C7" s="18">
        <v>1298771000</v>
      </c>
      <c r="D7" s="18">
        <v>1219489000</v>
      </c>
      <c r="E7" s="18">
        <v>1153414000</v>
      </c>
      <c r="F7" s="8" t="s">
        <v>88</v>
      </c>
    </row>
    <row r="8" spans="1:6" x14ac:dyDescent="0.25">
      <c r="A8" t="s">
        <v>89</v>
      </c>
      <c r="B8" s="18">
        <v>1080973000</v>
      </c>
      <c r="C8" s="18">
        <v>1571892000</v>
      </c>
      <c r="D8" s="18">
        <v>2210542000</v>
      </c>
      <c r="E8" s="18">
        <v>2483036000</v>
      </c>
      <c r="F8" s="8" t="s">
        <v>90</v>
      </c>
    </row>
    <row r="9" spans="1:6" x14ac:dyDescent="0.25">
      <c r="A9" t="s">
        <v>91</v>
      </c>
      <c r="B9" s="18">
        <v>-877185000</v>
      </c>
      <c r="C9" s="18">
        <v>1351905000</v>
      </c>
      <c r="D9" s="18">
        <v>-2194318000</v>
      </c>
      <c r="E9" s="18">
        <v>778155000</v>
      </c>
      <c r="F9" s="8" t="s">
        <v>92</v>
      </c>
    </row>
    <row r="10" spans="1:6" x14ac:dyDescent="0.25">
      <c r="A10" t="s">
        <v>93</v>
      </c>
      <c r="B10" s="18">
        <v>31112243000</v>
      </c>
      <c r="C10" s="18">
        <v>28606880000</v>
      </c>
      <c r="D10" s="18">
        <v>30943994000</v>
      </c>
      <c r="E10" s="18">
        <v>30658716000</v>
      </c>
      <c r="F10" s="8" t="s">
        <v>94</v>
      </c>
    </row>
    <row r="11" spans="1:6" x14ac:dyDescent="0.25">
      <c r="A11" t="s">
        <v>95</v>
      </c>
      <c r="B11" s="18">
        <v>10905494000</v>
      </c>
      <c r="C11" s="18">
        <v>8823340000</v>
      </c>
      <c r="D11" s="18">
        <v>10506530000</v>
      </c>
      <c r="E11" s="18">
        <v>8336863000</v>
      </c>
      <c r="F11" s="8" t="s">
        <v>96</v>
      </c>
    </row>
    <row r="12" spans="1:6" x14ac:dyDescent="0.25">
      <c r="A12" t="s">
        <v>32</v>
      </c>
      <c r="B12" s="34">
        <v>6242733000</v>
      </c>
      <c r="C12" s="34">
        <v>6242733000</v>
      </c>
      <c r="D12" s="34">
        <v>6242686000</v>
      </c>
      <c r="E12" s="34">
        <v>6274922000</v>
      </c>
      <c r="F12" s="8" t="s">
        <v>97</v>
      </c>
    </row>
    <row r="15" spans="1:1" x14ac:dyDescent="0.25">
      <c r="A15" s="19" t="s">
        <v>98</v>
      </c>
    </row>
    <row r="16" ht="22" customHeight="1" spans="1:6" x14ac:dyDescent="0.25">
      <c r="A16" s="35" t="s">
        <v>99</v>
      </c>
      <c r="B16" s="35"/>
      <c r="C16" s="35"/>
      <c r="D16" s="35"/>
      <c r="E16" s="35"/>
      <c r="F16" s="35"/>
    </row>
    <row r="17" ht="54" customHeight="1" spans="1:6" x14ac:dyDescent="0.25">
      <c r="A17" s="35" t="s">
        <v>100</v>
      </c>
      <c r="B17" s="35"/>
      <c r="C17" s="35"/>
      <c r="D17" s="35"/>
      <c r="E17" s="35"/>
      <c r="F17" s="35"/>
    </row>
    <row r="18" ht="22" customHeight="1" spans="1:6" x14ac:dyDescent="0.25">
      <c r="A18" s="35" t="s">
        <v>101</v>
      </c>
      <c r="B18" s="35"/>
      <c r="C18" s="35"/>
      <c r="D18" s="35"/>
      <c r="E18" s="35"/>
      <c r="F18" s="35"/>
    </row>
    <row r="20" spans="1:1" x14ac:dyDescent="0.25">
      <c r="A20" s="36" t="s">
        <v>102</v>
      </c>
    </row>
  </sheetData>
  <mergeCells count="3">
    <mergeCell ref="A16:F16"/>
    <mergeCell ref="A17:F17"/>
    <mergeCell ref="A18:F18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2026-09-19T00:07:53Z</dcterms:modified>
</cp:coreProperties>
</file>