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<sst xmlns="http://schemas.openxmlformats.org/spreadsheetml/2006/main" count="121" uniqueCount="108">
  <si>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Diamondback Energy, Inc. (FANG)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</si>
  <si>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</si>
  <si>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</si>
  <si>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</si>
  <si>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</si>
  <si>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</si>
  <si>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</si>
  <si>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</si>
  <si>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</si>
  <si>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</si>
  <si>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</si>
  <si>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</si>
  <si>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</si>
  <si>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</si>
  <si>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</si>
  <si>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</si>
  <si>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</si>
  <si>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</si>
  <si>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</si>
  <si>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</si>
  <si>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</si>
  <si>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</si>
  <si>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</si>
  <si>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</si>
  <si>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18.6x interest cover. Book interest / average debt was lower, at 1.9%.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</si>
  <si>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</si>
  <si>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</si>
  <si>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</si>
  <si>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</si>
  <si>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</si>
  <si>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</si>
  <si>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</si>
  <si>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</si>
  <si>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</si>
  <si>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</si>
  <si>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</si>
  <si>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</si>
  <si>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</si>
  <si>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</si>
  <si>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</si>
  <si>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</si>
  <si>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</si>
  <si>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</si>
  <si>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</si>
  <si>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</si>
  <si>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</si>
  <si>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</si>
  <si>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</si>
  <si>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</si>
  <si>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</si>
  <si>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</si>
  <si>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</si>
  <si>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</si>
  <si>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</si>
  <si>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</si>
  <si>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</si>
  <si>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</si>
  <si>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</si>
  <si>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</si>
  <si>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</si>
  <si>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</si>
  <si>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</si>
  <si>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</si>
  <si>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</si>
  <si>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</si>
  <si>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</si>
  <si>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</si>
  <si>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</si>
  <si>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</si>
  <si>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</si>
  <si>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</si>
  <si>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</si>
  <si>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</si>
  <si>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</si>
  <si>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</si>
  <si>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</si>
  <si>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</si>
  <si>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</si>
  <si>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</si>
  <si>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</si>
  <si>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</si>
  <si>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</si>
  <si>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</si>
  <si>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</si>
  <si>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</si>
  <si>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</si>
  <si>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</si>
  <si>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</si>
  <si>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</si>
  <si>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</si>
  <si>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</si>
  <si>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</si>
  <si>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</si>
  <si>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</si>
  <si>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</si>
  <si>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</si>
  <si>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</si>
  <si>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</si>
  <si>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</si>
  <si>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</si>
  <si>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</si>
  <si>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</si>
  <si>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</si>
  <si>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</si>
  <si>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</si>
  <si>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</si>
  <si>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66.2% of revenue against depreciation of 23.6%.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</si>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</sst>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0.32981757451939187</v>
      </c>
    </row>
    <row r="7" spans="1:2" x14ac:dyDescent="0.25">
      <c r="A7" t="s">
        <v>4</v>
      </c>
      <c r="B7" s="5">
        <v>0.48951136662795486</v>
      </c>
    </row>
    <row r="8" spans="1:2" x14ac:dyDescent="0.25">
      <c r="A8" t="s">
        <v>5</v>
      </c>
      <c r="B8" s="5">
        <v>0.19120526292468093</v>
      </c>
    </row>
    <row r="9" spans="1:2" x14ac:dyDescent="0.25">
      <c r="A9" t="s">
        <v>6</v>
      </c>
      <c r="B9" s="5">
        <v>0.2364723797565989</v>
      </c>
    </row>
    <row r="10" spans="1:3" x14ac:dyDescent="0.25">
      <c r="A10" t="s">
        <v>7</v>
      </c>
      <c r="B10" s="5">
        <v>0.661507513104036</v>
      </c>
      <c r="C10" s="6" t="s">
        <v>8</v>
      </c>
    </row>
    <row r="11" spans="1:2" x14ac:dyDescent="0.25">
      <c r="A11" t="s">
        <v>9</v>
      </c>
      <c r="B11" s="5">
        <v>0.06898436885497183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7.448934640417838</v>
      </c>
    </row>
    <row r="14" spans="1:3" x14ac:dyDescent="0.25">
      <c r="A14" t="s">
        <v>12</v>
      </c>
      <c r="B14" s="5">
        <v>0.1180805875432622</v>
      </c>
      <c r="C14" s="6" t="s">
        <v>13</v>
      </c>
    </row>
    <row r="15" spans="1:3" x14ac:dyDescent="0.25">
      <c r="A15" t="s">
        <v>14</v>
      </c>
      <c r="B15" s="5">
        <v>0.2364723797565989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0.68979</v>
      </c>
      <c r="C19" s="6" t="s">
        <v>21</v>
      </c>
    </row>
    <row r="20" spans="1:2" x14ac:dyDescent="0.25">
      <c r="A20" t="s">
        <v>22</v>
      </c>
      <c r="B20" s="9">
        <f>B17+B19*B18</f>
        <v>0.078118117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59386593280</v>
      </c>
    </row>
    <row r="23" spans="1:2" x14ac:dyDescent="0.25">
      <c r="A23" t="s">
        <v>26</v>
      </c>
      <c r="B23" s="10">
        <v>14879000000</v>
      </c>
    </row>
    <row r="24" spans="1:2" x14ac:dyDescent="0.25">
      <c r="A24" t="s">
        <v>27</v>
      </c>
      <c r="B24" s="9">
        <f>B22/(B22+B23)</f>
        <v>0.79965150289849</v>
      </c>
    </row>
    <row r="25" spans="1:2" x14ac:dyDescent="0.25">
      <c r="A25" t="s">
        <v>28</v>
      </c>
      <c r="B25" s="9">
        <f>1-B24</f>
        <v>0.20034849710151004</v>
      </c>
    </row>
    <row r="26" spans="1:2" x14ac:dyDescent="0.25">
      <c r="A26" t="s">
        <v>29</v>
      </c>
      <c r="B26" s="11">
        <f>B24*B20+B25*B21*(1-B8)</f>
        <v>0.07104571014599038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14929000000</v>
      </c>
      <c r="C29" s="6" t="s">
        <v>32</v>
      </c>
    </row>
    <row r="30" spans="1:2" x14ac:dyDescent="0.25">
      <c r="A30" t="s">
        <v>33</v>
      </c>
      <c r="B30" s="10">
        <v>14775000000</v>
      </c>
    </row>
    <row r="31" spans="1:2" x14ac:dyDescent="0.25">
      <c r="A31" t="s">
        <v>34</v>
      </c>
      <c r="B31" s="12">
        <v>289079000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0.32981757451939187</v>
      </c>
      <c r="C5" s="5">
        <v>-0.05418963755181028</v>
      </c>
      <c r="D5" s="5">
        <v>-0.04429093285783399</v>
      </c>
      <c r="E5" s="5">
        <v>-0.03439222816385771</v>
      </c>
      <c r="F5" s="5">
        <v>-0.024493523469881425</v>
      </c>
      <c r="G5" s="5">
        <v>-0.014594818775905141</v>
      </c>
      <c r="H5" s="5">
        <v>-0.004696114081928854</v>
      </c>
      <c r="I5" s="5">
        <v>0.005202590612047427</v>
      </c>
      <c r="J5" s="5">
        <v>0.015101295306023707</v>
      </c>
      <c r="K5" s="5">
        <v>0.024999999999999994</v>
      </c>
    </row>
    <row r="6" spans="1:11" x14ac:dyDescent="0.25">
      <c r="A6" t="s">
        <v>50</v>
      </c>
      <c r="B6" s="18">
        <f>Assumptions!B29*(1+B5)</f>
        <v>19852846570</v>
      </c>
      <c r="C6" s="18">
        <f>B6*(1+C5)</f>
        <v>18777028010</v>
      </c>
      <c r="D6" s="18">
        <f>C6*(1+D5)</f>
        <v>17945375923.13942</v>
      </c>
      <c r="E6" s="18">
        <f>D6*(1+E5)</f>
        <v>17328194459.90461</v>
      </c>
      <c r="F6" s="18">
        <f>E6*(1+F5)</f>
        <v>16903765922.210266</v>
      </c>
      <c r="G6" s="18">
        <f>F6*(1+G5)</f>
        <v>16657058521.945286</v>
      </c>
      <c r="H6" s="18">
        <f>G6*(1+H5)</f>
        <v>16578835074.856867</v>
      </c>
      <c r="I6" s="18">
        <f>H6*(1+I5)</f>
        <v>16665087966.576</v>
      </c>
      <c r="J6" s="18">
        <f>I6*(1+J5)</f>
        <v>16916752381.260126</v>
      </c>
      <c r="K6" s="18">
        <f>J6*(1+K5)</f>
        <v>17339671190.791626</v>
      </c>
    </row>
    <row r="7" spans="1:11" x14ac:dyDescent="0.25">
      <c r="A7" t="s">
        <v>4</v>
      </c>
      <c r="B7" s="9">
        <f>Assumptions!B7</f>
        <v>0.48951136662795486</v>
      </c>
      <c r="C7" s="9">
        <f>Assumptions!B7</f>
        <v>0.48951136662795486</v>
      </c>
      <c r="D7" s="9">
        <f>Assumptions!B7</f>
        <v>0.48951136662795486</v>
      </c>
      <c r="E7" s="9">
        <f>Assumptions!B7</f>
        <v>0.48951136662795486</v>
      </c>
      <c r="F7" s="9">
        <f>Assumptions!B7</f>
        <v>0.48951136662795486</v>
      </c>
      <c r="G7" s="9">
        <f>Assumptions!B7</f>
        <v>0.48951136662795486</v>
      </c>
      <c r="H7" s="9">
        <f>Assumptions!B7</f>
        <v>0.48951136662795486</v>
      </c>
      <c r="I7" s="9">
        <f>Assumptions!B7</f>
        <v>0.48951136662795486</v>
      </c>
      <c r="J7" s="9">
        <f>Assumptions!B7</f>
        <v>0.48951136662795486</v>
      </c>
      <c r="K7" s="9">
        <f>Assumptions!B7</f>
        <v>0.48951136662795486</v>
      </c>
    </row>
    <row r="8" spans="1:11" x14ac:dyDescent="0.25">
      <c r="A8" t="s">
        <v>51</v>
      </c>
      <c r="B8" s="18">
        <f>B6*B7</f>
        <v>9718194055.935806</v>
      </c>
      <c r="C8" s="18">
        <f>C6*C7</f>
        <v>9191568642.386488</v>
      </c>
      <c r="D8" s="18">
        <f>D6*D7</f>
        <v>8784465492.788374</v>
      </c>
      <c r="E8" s="18">
        <f>E6*E7</f>
        <v>8482348151.262861</v>
      </c>
      <c r="F8" s="18">
        <f>F6*F7</f>
        <v>8274585557.740199</v>
      </c>
      <c r="G8" s="18">
        <f>G6*G7</f>
        <v>8153819481.079259</v>
      </c>
      <c r="H8" s="18">
        <f>H6*H7</f>
        <v>8115528214.592657</v>
      </c>
      <c r="I8" s="18">
        <f>I6*I7</f>
        <v>8157749985.493703</v>
      </c>
      <c r="J8" s="18">
        <f>J6*J7</f>
        <v>8280942577.057354</v>
      </c>
      <c r="K8" s="18">
        <f>K6*K7</f>
        <v>8487966141.483787</v>
      </c>
    </row>
    <row r="9" spans="1:11" x14ac:dyDescent="0.25">
      <c r="A9" t="s">
        <v>52</v>
      </c>
      <c r="B9" s="18">
        <f>B8*(1-Assumptions!B8)</f>
        <v>7860024206.317529</v>
      </c>
      <c r="C9" s="18">
        <f>C8*(1-Assumptions!B8)</f>
        <v>7434092343.428726</v>
      </c>
      <c r="D9" s="18">
        <f>D8*(1-Assumptions!B8)</f>
        <v>7104829458.586986</v>
      </c>
      <c r="E9" s="18">
        <f>E8*(1-Assumptions!B8)</f>
        <v>6860478542.781964</v>
      </c>
      <c r="F9" s="18">
        <f>F8*(1-Assumptions!B8)</f>
        <v>6692441250.579717</v>
      </c>
      <c r="G9" s="18">
        <f>G8*(1-Assumptions!B8)</f>
        <v>6594766283.359114</v>
      </c>
      <c r="H9" s="18">
        <f>H8*(1-Assumptions!B8)</f>
        <v>6563796508.548801</v>
      </c>
      <c r="I9" s="18">
        <f>I8*(1-Assumptions!B8)</f>
        <v>6597945254.643567</v>
      </c>
      <c r="J9" s="18">
        <f>J8*(1-Assumptions!B8)</f>
        <v>6697582774.346917</v>
      </c>
      <c r="K9" s="18">
        <f>K8*(1-Assumptions!B8)</f>
        <v>6865022343.705589</v>
      </c>
    </row>
    <row r="10" spans="1:11" x14ac:dyDescent="0.25">
      <c r="A10" t="s">
        <v>53</v>
      </c>
      <c r="B10" s="18">
        <f>B6*Assumptions!B9</f>
        <v>4694649873.350532</v>
      </c>
      <c r="C10" s="18">
        <f>C6*Assumptions!B9</f>
        <v>4440248498.281014</v>
      </c>
      <c r="D10" s="18">
        <f>D6*Assumptions!B9</f>
        <v>4243585750.171551</v>
      </c>
      <c r="E10" s="18">
        <f>E6*Assumptions!B9</f>
        <v>4097639380.818756</v>
      </c>
      <c r="F10" s="18">
        <f>F6*Assumptions!B9</f>
        <v>3997273754.4735613</v>
      </c>
      <c r="G10" s="18">
        <f>G6*Assumptions!B9</f>
        <v>3938934268.4293375</v>
      </c>
      <c r="H10" s="18">
        <f>H6*Assumptions!B9</f>
        <v>3920436583.7435746</v>
      </c>
      <c r="I10" s="18">
        <f>I6*Assumptions!B9</f>
        <v>3940833010.3092866</v>
      </c>
      <c r="J10" s="18">
        <f>J6*Assumptions!B9</f>
        <v>4000344693.3496933</v>
      </c>
      <c r="K10" s="18">
        <f>K6*Assumptions!B9</f>
        <v>4100353310.683435</v>
      </c>
    </row>
    <row r="11" spans="1:11" x14ac:dyDescent="0.25">
      <c r="A11" t="s">
        <v>54</v>
      </c>
      <c r="B11" s="18">
        <f>-B6*B19</f>
        <v>-13132807162.55669</v>
      </c>
      <c r="C11" s="18">
        <f>-C6*C19</f>
        <v>-11709261551.504011</v>
      </c>
      <c r="D11" s="18">
        <f>-D6*D19</f>
        <v>-10510293869.990053</v>
      </c>
      <c r="E11" s="18">
        <f>-E6*E19</f>
        <v>-9491866755.838924</v>
      </c>
      <c r="F11" s="18">
        <f>-F6*F19</f>
        <v>-8618513940.477707</v>
      </c>
      <c r="G11" s="18">
        <f>-G6*G19</f>
        <v>-7861218024.628423</v>
      </c>
      <c r="H11" s="18">
        <f>-H6*H19</f>
        <v>-7195756225.448119</v>
      </c>
      <c r="I11" s="18">
        <f>-I6*I19</f>
        <v>-6601378116.367138</v>
      </c>
      <c r="J11" s="18">
        <f>-J6*J19</f>
        <v>-6059711573.758401</v>
      </c>
      <c r="K11" s="18">
        <f>-K6*K19</f>
        <v>-5553814562.557371</v>
      </c>
    </row>
    <row r="12" spans="1:11" x14ac:dyDescent="0.25">
      <c r="A12" t="s">
        <v>55</v>
      </c>
      <c r="B12" s="18">
        <f>-(B6-Assumptions!B29)*Assumptions!B11</f>
        <v>-339668447.9701679</v>
      </c>
      <c r="C12" s="18">
        <f>-(C6-B6)*Assumptions!B11</f>
        <v>74214664.36406465</v>
      </c>
      <c r="D12" s="18">
        <f>-(D6-C6)*Assumptions!B11</f>
        <v>57370994.31899735</v>
      </c>
      <c r="E12" s="18">
        <f>-(E6-D6)*Assumptions!B11</f>
        <v>42575873.71024136</v>
      </c>
      <c r="F12" s="18">
        <f>-(F6-E6)*Assumptions!B11</f>
        <v>29278934.796882913</v>
      </c>
      <c r="G12" s="18">
        <f>-(G6-F6)*Assumptions!B11</f>
        <v>17018954.299130578</v>
      </c>
      <c r="H12" s="18">
        <f>-(H6-G6)*Assumptions!B11</f>
        <v>5396195.127054866</v>
      </c>
      <c r="I12" s="18">
        <f>-(I6-H6)*Assumptions!B11</f>
        <v>-5950101.297160642</v>
      </c>
      <c r="J12" s="18">
        <f>-(J6-I6)*Assumptions!B11</f>
        <v>-17360910.810240332</v>
      </c>
      <c r="K12" s="18">
        <f>-(K6-J6)*Assumptions!B11</f>
        <v>-29174787.152426563</v>
      </c>
    </row>
    <row r="13" spans="1:11" x14ac:dyDescent="0.25">
      <c r="A13" s="19" t="s">
        <v>56</v>
      </c>
      <c r="B13" s="20">
        <f>B9+B10+B11+B12</f>
        <v>-917801530.8587978</v>
      </c>
      <c r="C13" s="20">
        <f>C9+C10+C11+C12</f>
        <v>239293954.56979316</v>
      </c>
      <c r="D13" s="20">
        <f>D9+D10+D11+D12</f>
        <v>895492333.0874815</v>
      </c>
      <c r="E13" s="20">
        <f>E9+E10+E11+E12</f>
        <v>1508827041.4720364</v>
      </c>
      <c r="F13" s="20">
        <f>F9+F10+F11+F12</f>
        <v>2100479999.372454</v>
      </c>
      <c r="G13" s="20">
        <f>G9+G10+G11+G12</f>
        <v>2689501481.45916</v>
      </c>
      <c r="H13" s="20">
        <f>H9+H10+H11+H12</f>
        <v>3293873061.971311</v>
      </c>
      <c r="I13" s="20">
        <f>I9+I10+I11+I12</f>
        <v>3931450047.2885556</v>
      </c>
      <c r="J13" s="20">
        <f>J9+J10+J11+J12</f>
        <v>4620854983.127968</v>
      </c>
      <c r="K13" s="20">
        <f>K9+K10+K11+K12</f>
        <v>5382386304.679227</v>
      </c>
    </row>
    <row r="14" spans="1:11" x14ac:dyDescent="0.25">
      <c r="A14" t="s">
        <v>57</v>
      </c>
      <c r="B14" s="21">
        <f>1/(1+Assumptions!$B$26)^(1-0.5*Assumptions!$B$32)</f>
        <v>0.9662644396180684</v>
      </c>
      <c r="C14" s="21">
        <f>1/(1+Assumptions!$B$26)^(2-0.5*Assumptions!$B$32)</f>
        <v>0.9021691889194535</v>
      </c>
      <c r="D14" s="21">
        <f>1/(1+Assumptions!$B$26)^(3-0.5*Assumptions!$B$32)</f>
        <v>0.8423255705832405</v>
      </c>
      <c r="E14" s="21">
        <f>1/(1+Assumptions!$B$26)^(4-0.5*Assumptions!$B$32)</f>
        <v>0.7864515609407802</v>
      </c>
      <c r="F14" s="21">
        <f>1/(1+Assumptions!$B$26)^(5-0.5*Assumptions!$B$32)</f>
        <v>0.734283843808666</v>
      </c>
      <c r="G14" s="21">
        <f>1/(1+Assumptions!$B$26)^(6-0.5*Assumptions!$B$32)</f>
        <v>0.6855765695645037</v>
      </c>
      <c r="H14" s="21">
        <f>1/(1+Assumptions!$B$26)^(7-0.5*Assumptions!$B$32)</f>
        <v>0.6401001965369482</v>
      </c>
      <c r="I14" s="21">
        <f>1/(1+Assumptions!$B$26)^(8-0.5*Assumptions!$B$32)</f>
        <v>0.5976404092498521</v>
      </c>
      <c r="J14" s="21">
        <f>1/(1+Assumptions!$B$26)^(9-0.5*Assumptions!$B$32)</f>
        <v>0.5579971084225619</v>
      </c>
      <c r="K14" s="21">
        <f>1/(1+Assumptions!$B$26)^(10-0.5*Assumptions!$B$32)</f>
        <v>0.5209834679665569</v>
      </c>
    </row>
    <row r="15" spans="1:11" x14ac:dyDescent="0.25">
      <c r="A15" s="19" t="s">
        <v>58</v>
      </c>
      <c r="B15" s="20">
        <f>B13*B14</f>
        <v>-886838981.8958815</v>
      </c>
      <c r="C15" s="20">
        <f>C13*C14</f>
        <v>215883632.90755886</v>
      </c>
      <c r="D15" s="20">
        <f>D13*D14</f>
        <v>754296090.4208301</v>
      </c>
      <c r="E15" s="20">
        <f>E13*E14</f>
        <v>1186619381.9553423</v>
      </c>
      <c r="F15" s="20">
        <f>F13*F14</f>
        <v>1542348527.7824297</v>
      </c>
      <c r="G15" s="20">
        <f>G13*G14</f>
        <v>1843859199.4974215</v>
      </c>
      <c r="H15" s="20">
        <f>H13*H14</f>
        <v>2108408794.3355954</v>
      </c>
      <c r="I15" s="20">
        <f>I13*I14</f>
        <v>2349593415.2068825</v>
      </c>
      <c r="J15" s="20">
        <f>J13*J14</f>
        <v>2578423719.025392</v>
      </c>
      <c r="K15" s="20">
        <f>K13*K14</f>
        <v>2804134282.9474845</v>
      </c>
    </row>
    <row r="17" spans="1:2" x14ac:dyDescent="0.25">
      <c r="A17" s="22" t="s">
        <v>59</v>
      </c>
      <c r="B17" s="23">
        <f>SUM(B15:K15)</f>
        <v>14496728062.183056</v>
      </c>
    </row>
    <row r="19" spans="1:11" x14ac:dyDescent="0.25">
      <c r="A19" t="s">
        <v>7</v>
      </c>
      <c r="B19" s="9">
        <f>Assumptions!$B$10+($B$20-Assumptions!$B$10)*0/9</f>
        <v>0.661507513104036</v>
      </c>
      <c r="C19" s="9">
        <f>Assumptions!$B$10+($B$20-Assumptions!$B$10)*1/9</f>
        <v>0.6235950409866812</v>
      </c>
      <c r="D19" s="9">
        <f>Assumptions!$B$10+($B$20-Assumptions!$B$10)*2/9</f>
        <v>0.5856825688693263</v>
      </c>
      <c r="E19" s="9">
        <f>Assumptions!$B$10+($B$20-Assumptions!$B$10)*3/9</f>
        <v>0.5477700967519715</v>
      </c>
      <c r="F19" s="9">
        <f>Assumptions!$B$10+($B$20-Assumptions!$B$10)*4/9</f>
        <v>0.5098576246346167</v>
      </c>
      <c r="G19" s="9">
        <f>Assumptions!$B$10+($B$20-Assumptions!$B$10)*5/9</f>
        <v>0.47194515251726177</v>
      </c>
      <c r="H19" s="9">
        <f>Assumptions!$B$10+($B$20-Assumptions!$B$10)*6/9</f>
        <v>0.434032680399907</v>
      </c>
      <c r="I19" s="9">
        <f>Assumptions!$B$10+($B$20-Assumptions!$B$10)*7/9</f>
        <v>0.3961202082825521</v>
      </c>
      <c r="J19" s="9">
        <f>Assumptions!$B$10+($B$20-Assumptions!$B$10)*8/9</f>
        <v>0.35820773616519735</v>
      </c>
      <c r="K19" s="9">
        <f>Assumptions!$B$10+($B$20-Assumptions!$B$10)*9/9</f>
        <v>0.3202952640478425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0.3202952640478425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5382386304.679227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6865022343.705589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0.21171981373179175</v>
      </c>
    </row>
    <row r="7" spans="1:2" x14ac:dyDescent="0.25">
      <c r="A7" t="s">
        <v>66</v>
      </c>
      <c r="B7" s="18">
        <f>-MAX(B5,0)*B6</f>
        <v>-1453461251.8739357</v>
      </c>
    </row>
    <row r="8" spans="1:2" x14ac:dyDescent="0.25">
      <c r="A8" t="s">
        <v>67</v>
      </c>
      <c r="B8" s="18">
        <f>IF(OR(Assumptions!$B$33=0,Assumptions!B12&lt;=0),B5,MAX(B5+B7,0))</f>
        <v>5411561091.831654</v>
      </c>
    </row>
    <row r="9" spans="1:2" x14ac:dyDescent="0.25">
      <c r="A9" t="s">
        <v>68</v>
      </c>
      <c r="B9" s="18">
        <f>B8*(1+Assumptions!B12)/(Assumptions!B26-Assumptions!B12)</f>
        <v>120463993313.18509</v>
      </c>
    </row>
    <row r="10" spans="1:2" x14ac:dyDescent="0.25">
      <c r="A10" t="s">
        <v>69</v>
      </c>
      <c r="B10" s="18">
        <f>B9/(1+Assumptions!B26)^(10-0.5*Assumptions!B32)</f>
        <v>62759749001.40329</v>
      </c>
    </row>
    <row r="11" spans="1:2" x14ac:dyDescent="0.25">
      <c r="A11" t="s">
        <v>70</v>
      </c>
      <c r="B11" s="18">
        <f>Forecast!B17+B10</f>
        <v>77256477063.58635</v>
      </c>
    </row>
    <row r="12" spans="1:2" x14ac:dyDescent="0.25">
      <c r="A12" t="s">
        <v>71</v>
      </c>
      <c r="B12" s="18">
        <f>-Assumptions!B30</f>
        <v>-14775000000</v>
      </c>
    </row>
    <row r="13" spans="1:2" x14ac:dyDescent="0.25">
      <c r="A13" t="s">
        <v>72</v>
      </c>
      <c r="B13" s="18">
        <f>B11+B12</f>
        <v>62481477063.58635</v>
      </c>
    </row>
    <row r="14" spans="1:2" x14ac:dyDescent="0.25">
      <c r="A14" s="19" t="s">
        <v>73</v>
      </c>
      <c r="B14" s="24">
        <f>B13/Assumptions!B31</f>
        <v>216.13979937521006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12588319452.167221</v>
      </c>
    </row>
    <row r="18" spans="1:2" x14ac:dyDescent="0.25">
      <c r="A18" t="s">
        <v>68</v>
      </c>
      <c r="B18" s="18">
        <f>B17*Assumptions!B13</f>
        <v>93769568831.89412</v>
      </c>
    </row>
    <row r="19" spans="1:2" x14ac:dyDescent="0.25">
      <c r="A19" t="s">
        <v>69</v>
      </c>
      <c r="B19" s="18">
        <f>B18/(1+Assumptions!B26)^(10-0.5*Assumptions!B32)</f>
        <v>48852395159.76897</v>
      </c>
    </row>
    <row r="20" spans="1:2" x14ac:dyDescent="0.25">
      <c r="A20" t="s">
        <v>70</v>
      </c>
      <c r="B20" s="18">
        <f>Forecast!B17+B19</f>
        <v>63349123221.95203</v>
      </c>
    </row>
    <row r="21" spans="1:2" x14ac:dyDescent="0.25">
      <c r="A21" t="s">
        <v>71</v>
      </c>
      <c r="B21" s="18">
        <f>-Assumptions!B30</f>
        <v>-14775000000</v>
      </c>
    </row>
    <row r="22" spans="1:2" x14ac:dyDescent="0.25">
      <c r="A22" t="s">
        <v>72</v>
      </c>
      <c r="B22" s="18">
        <f>B20+B21</f>
        <v>48574123221.95203</v>
      </c>
    </row>
    <row r="23" spans="1:2" x14ac:dyDescent="0.25">
      <c r="A23" s="19" t="s">
        <v>73</v>
      </c>
      <c r="B23" s="25">
        <f>B22/Assumptions!B31</f>
        <v>168.03061869576146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212.08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216.13979937521006</v>
      </c>
    </row>
    <row r="29" spans="1:2" x14ac:dyDescent="0.25">
      <c r="A29" s="19" t="s">
        <v>81</v>
      </c>
      <c r="B29" s="11">
        <f>B28/B26-1</f>
        <v>0.01914277336481529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0.051046</v>
      </c>
      <c r="B5" s="31">
        <v>377.0779030200861</v>
      </c>
      <c r="C5" s="31">
        <v>413.62322114933585</v>
      </c>
      <c r="D5" s="31">
        <v>465.31556741925635</v>
      </c>
      <c r="E5" s="31">
        <v>542.9506000124034</v>
      </c>
      <c r="F5" s="31">
        <v>670.7798641642494</v>
      </c>
    </row>
    <row r="6" spans="1:6" x14ac:dyDescent="0.25">
      <c r="A6" s="30">
        <v>0.061046</v>
      </c>
      <c r="B6" s="31">
        <v>269.4072942915251</v>
      </c>
      <c r="C6" s="31">
        <v>284.9967538078184</v>
      </c>
      <c r="D6" s="31">
        <v>305.67359804279954</v>
      </c>
      <c r="E6" s="31">
        <v>333.8958174229432</v>
      </c>
      <c r="F6" s="31">
        <v>374.0088249551383</v>
      </c>
    </row>
    <row r="7" spans="1:6" x14ac:dyDescent="0.25">
      <c r="A7" s="30">
        <v>0.071046</v>
      </c>
      <c r="B7" s="31">
        <v>200.88743071564554</v>
      </c>
      <c r="C7" s="31">
        <v>207.51090614721585</v>
      </c>
      <c r="D7" s="32">
        <v>216.13777826849906</v>
      </c>
      <c r="E7" s="31">
        <v>227.50017567535596</v>
      </c>
      <c r="F7" s="31">
        <v>242.73644601478208</v>
      </c>
    </row>
    <row r="8" spans="1:6" x14ac:dyDescent="0.25">
      <c r="A8" s="30">
        <v>0.081046</v>
      </c>
      <c r="B8" s="31">
        <v>153.68740603972418</v>
      </c>
      <c r="C8" s="31">
        <v>155.98576062696776</v>
      </c>
      <c r="D8" s="31">
        <v>159.1338836335585</v>
      </c>
      <c r="E8" s="31">
        <v>163.38148172192274</v>
      </c>
      <c r="F8" s="31">
        <v>169.08672120893053</v>
      </c>
    </row>
    <row r="9" spans="1:6" x14ac:dyDescent="0.25">
      <c r="A9" s="30">
        <v>0.091046</v>
      </c>
      <c r="B9" s="31">
        <v>119.35899128495117</v>
      </c>
      <c r="C9" s="31">
        <v>119.42172637575942</v>
      </c>
      <c r="D9" s="31">
        <v>119.84771354618898</v>
      </c>
      <c r="E9" s="31">
        <v>120.72620976957676</v>
      </c>
      <c r="F9" s="31">
        <v>122.17832334614694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14929000000</v>
      </c>
      <c r="C5" s="18">
        <v>11023000000</v>
      </c>
      <c r="D5" s="18">
        <v>8339000000</v>
      </c>
      <c r="E5" s="18">
        <v>9566000000</v>
      </c>
      <c r="F5" s="6" t="s">
        <v>91</v>
      </c>
    </row>
    <row r="6" spans="1:6" x14ac:dyDescent="0.25">
      <c r="A6" t="s">
        <v>51</v>
      </c>
      <c r="B6" s="18">
        <v>4918000000</v>
      </c>
      <c r="C6" s="18">
        <v>4396000000</v>
      </c>
      <c r="D6" s="18">
        <v>4570000000</v>
      </c>
      <c r="E6" s="18">
        <v>6522000000</v>
      </c>
      <c r="F6" s="6" t="s">
        <v>92</v>
      </c>
    </row>
    <row r="7" spans="1:6" x14ac:dyDescent="0.25">
      <c r="A7" t="s">
        <v>93</v>
      </c>
      <c r="B7" s="18">
        <v>5038000000</v>
      </c>
      <c r="C7" s="18">
        <v>2850000000</v>
      </c>
      <c r="D7" s="18">
        <v>1746000000</v>
      </c>
      <c r="E7" s="18">
        <v>1344000000</v>
      </c>
      <c r="F7" s="6" t="s">
        <v>94</v>
      </c>
    </row>
    <row r="8" spans="1:6" x14ac:dyDescent="0.25">
      <c r="A8" t="s">
        <v>95</v>
      </c>
      <c r="B8" s="18">
        <v>9461000000</v>
      </c>
      <c r="C8" s="18">
        <v>11787000000</v>
      </c>
      <c r="D8" s="18">
        <v>4714000000</v>
      </c>
      <c r="E8" s="18">
        <v>3613000000</v>
      </c>
      <c r="F8" s="6" t="s">
        <v>96</v>
      </c>
    </row>
    <row r="9" spans="1:6" x14ac:dyDescent="0.25">
      <c r="A9" t="s">
        <v>97</v>
      </c>
      <c r="B9" s="18">
        <v>314000000</v>
      </c>
      <c r="C9" s="18">
        <v>96000000</v>
      </c>
      <c r="D9" s="18">
        <v>-296000000</v>
      </c>
      <c r="E9" s="18">
        <v>199000000</v>
      </c>
      <c r="F9" s="6" t="s">
        <v>98</v>
      </c>
    </row>
    <row r="10" spans="1:6" x14ac:dyDescent="0.25">
      <c r="A10" t="s">
        <v>99</v>
      </c>
      <c r="B10" s="18">
        <v>14879000000</v>
      </c>
      <c r="C10" s="18">
        <v>13329000000</v>
      </c>
      <c r="D10" s="18">
        <v>6801000000</v>
      </c>
      <c r="E10" s="18">
        <v>6379000000</v>
      </c>
      <c r="F10" s="6" t="s">
        <v>100</v>
      </c>
    </row>
    <row r="11" spans="1:6" x14ac:dyDescent="0.25">
      <c r="A11" t="s">
        <v>101</v>
      </c>
      <c r="B11" s="18">
        <v>104000000</v>
      </c>
      <c r="C11" s="18">
        <v>161000000</v>
      </c>
      <c r="D11" s="18">
        <v>582000000</v>
      </c>
      <c r="E11" s="18">
        <v>157000000</v>
      </c>
      <c r="F11" s="6" t="s">
        <v>102</v>
      </c>
    </row>
    <row r="12" spans="1:6" x14ac:dyDescent="0.25">
      <c r="A12" t="s">
        <v>34</v>
      </c>
      <c r="B12" s="34">
        <v>289079000</v>
      </c>
      <c r="C12" s="34">
        <v>213545000</v>
      </c>
      <c r="D12" s="34">
        <v>179999000</v>
      </c>
      <c r="E12" s="34">
        <v>176539000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