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<sst xmlns="http://schemas.openxmlformats.org/spreadsheetml/2006/main" count="112" uniqueCount="100">
  <si>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Fastenal Company (FAST)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</si>
  <si>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</si>
  <si>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</si>
  <si>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</si>
  <si>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</si>
  <si>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</si>
  <si>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</si>
  <si>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</si>
  <si>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</si>
  <si>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</si>
  <si>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</si>
  <si>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</si>
  <si>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</si>
  <si>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</si>
  <si>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</si>
  <si>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</si>
  <si>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</si>
  <si>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</si>
  <si>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</si>
  <si>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</si>
  <si>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</si>
  <si>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</si>
  <si>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</si>
  <si>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</si>
  <si>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</si>
  <si>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</si>
  <si>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</si>
  <si>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</si>
  <si>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</si>
  <si>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</si>
  <si>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</si>
  <si>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</si>
  <si>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</si>
  <si>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</si>
  <si>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</si>
  <si>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</si>
  <si>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</si>
  <si>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</si>
  <si>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</si>
  <si>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</si>
  <si>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</si>
  <si>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</si>
  <si>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</si>
  <si>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</si>
  <si>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</si>
  <si>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</si>
  <si>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</si>
  <si>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</si>
  <si>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</si>
  <si>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</si>
  <si>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</si>
  <si>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</si>
  <si>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</si>
  <si>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</si>
  <si>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</si>
  <si>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</si>
  <si>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</si>
  <si>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</si>
  <si>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</si>
  <si>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</si>
  <si>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</si>
  <si>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</si>
  <si>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</si>
  <si>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</si>
  <si>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</si>
  <si>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</si>
  <si>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</si>
  <si>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</si>
  <si>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</si>
  <si>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</si>
  <si>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</si>
  <si>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</si>
  <si>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</si>
  <si>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</si>
  <si>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</si>
  <si>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</si>
  <si>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</si>
  <si>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</si>
  <si>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</si>
  <si>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</si>
  <si>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</si>
  <si>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</si>
  <si>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</si>
  <si>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</si>
  <si>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</si>
  <si>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</si>
  <si>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</si>
  <si>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</si>
  <si>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</si>
  <si>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</si>
  <si>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</si>
  <si>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</si>
  <si>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</si>
  <si>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</si>
  <si>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</si>
  <si>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</si>
  <si>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</si>
  <si>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</si>
  <si>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30.7x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</si>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</sst>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0.05515402516123835</v>
      </c>
    </row>
    <row r="7" spans="1:2" x14ac:dyDescent="0.25">
      <c r="A7" t="s">
        <v>5</v>
      </c>
      <c r="B7" s="6">
        <v>0.20458060170405384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0.023632099543038916</v>
      </c>
    </row>
    <row r="10" spans="1:2" x14ac:dyDescent="0.25">
      <c r="A10" t="s">
        <v>8</v>
      </c>
      <c r="B10" s="6">
        <v>0.027086762589682456</v>
      </c>
    </row>
    <row r="11" spans="1:2" x14ac:dyDescent="0.25">
      <c r="A11" t="s">
        <v>9</v>
      </c>
      <c r="B11" s="6">
        <v>0.22918258212375858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0.31703374582671584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0.8077099999999999</v>
      </c>
      <c r="C19" s="8" t="s">
        <v>19</v>
      </c>
    </row>
    <row r="20" spans="1:2" x14ac:dyDescent="0.25">
      <c r="A20" t="s">
        <v>20</v>
      </c>
      <c r="B20" s="10">
        <f>B17+B19*B18</f>
        <v>0.09440405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56238854144</v>
      </c>
    </row>
    <row r="23" spans="1:2" x14ac:dyDescent="0.25">
      <c r="A23" t="s">
        <v>24</v>
      </c>
      <c r="B23" s="11">
        <v>441900000</v>
      </c>
    </row>
    <row r="24" spans="1:2" x14ac:dyDescent="0.25">
      <c r="A24" t="s">
        <v>25</v>
      </c>
      <c r="B24" s="10">
        <f>B22/(B22+B23)</f>
        <v>0.9922037028851569</v>
      </c>
    </row>
    <row r="25" spans="1:2" x14ac:dyDescent="0.25">
      <c r="A25" t="s">
        <v>26</v>
      </c>
      <c r="B25" s="10">
        <f>1-B24</f>
        <v>0.007796297114843087</v>
      </c>
    </row>
    <row r="26" spans="1:2" x14ac:dyDescent="0.25">
      <c r="A26" t="s">
        <v>27</v>
      </c>
      <c r="B26" s="12">
        <f>B24*B20+B25*B21*(1-B8)</f>
        <v>0.0939758785318974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8200500000</v>
      </c>
      <c r="C29" s="8" t="s">
        <v>30</v>
      </c>
    </row>
    <row r="30" spans="1:2" x14ac:dyDescent="0.25">
      <c r="A30" t="s">
        <v>31</v>
      </c>
      <c r="B30" s="11">
        <v>165100000</v>
      </c>
    </row>
    <row r="31" spans="1:2" x14ac:dyDescent="0.25">
      <c r="A31" t="s">
        <v>32</v>
      </c>
      <c r="B31" s="13">
        <v>1150300000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0.05515402516123835</v>
      </c>
      <c r="C5" s="10">
        <f>Assumptions!B6</f>
        <v>0.05515402516123835</v>
      </c>
      <c r="D5" s="10">
        <f>Assumptions!B6</f>
        <v>0.05515402516123835</v>
      </c>
      <c r="E5" s="10">
        <f>Assumptions!B6</f>
        <v>0.05515402516123835</v>
      </c>
      <c r="F5" s="10">
        <f>Assumptions!B6</f>
        <v>0.05515402516123835</v>
      </c>
    </row>
    <row r="6" spans="1:6" x14ac:dyDescent="0.25">
      <c r="A6" t="s">
        <v>43</v>
      </c>
      <c r="B6" s="18">
        <f>Assumptions!B29*(1+B5)</f>
        <v>8652790583.334736</v>
      </c>
      <c r="C6" s="18">
        <f>B6*(1+C5)</f>
        <v>9130026812.882906</v>
      </c>
      <c r="D6" s="18">
        <f>C6*(1+D5)</f>
        <v>9633584541.44343</v>
      </c>
      <c r="E6" s="18">
        <f>D6*(1+E5)</f>
        <v>10164915505.635118</v>
      </c>
      <c r="F6" s="18">
        <f>E6*(1+F5)</f>
        <v>10725551511.19478</v>
      </c>
    </row>
    <row r="7" spans="1:6" x14ac:dyDescent="0.25">
      <c r="A7" t="s">
        <v>5</v>
      </c>
      <c r="B7" s="10">
        <f>Assumptions!B7</f>
        <v>0.20458060170405384</v>
      </c>
      <c r="C7" s="10">
        <f>Assumptions!B7</f>
        <v>0.20458060170405384</v>
      </c>
      <c r="D7" s="10">
        <f>Assumptions!B7</f>
        <v>0.20458060170405384</v>
      </c>
      <c r="E7" s="10">
        <f>Assumptions!B7</f>
        <v>0.20458060170405384</v>
      </c>
      <c r="F7" s="10">
        <f>Assumptions!B7</f>
        <v>0.20458060170405384</v>
      </c>
    </row>
    <row r="8" spans="1:6" x14ac:dyDescent="0.25">
      <c r="A8" t="s">
        <v>44</v>
      </c>
      <c r="B8" s="18">
        <f>B6*B7</f>
        <v>1770193103.9577913</v>
      </c>
      <c r="C8" s="18">
        <f>C6*C7</f>
        <v>1867826378.9537299</v>
      </c>
      <c r="D8" s="18">
        <f>D6*D7</f>
        <v>1970844522.0553684</v>
      </c>
      <c r="E8" s="18">
        <f>E6*E7</f>
        <v>2079544530.4136992</v>
      </c>
      <c r="F8" s="18">
        <f>F6*F7</f>
        <v>2194239781.768052</v>
      </c>
    </row>
    <row r="9" spans="1:6" x14ac:dyDescent="0.25">
      <c r="A9" t="s">
        <v>45</v>
      </c>
      <c r="B9" s="18">
        <f>B8*(1-Assumptions!B8)</f>
        <v>1398452552.126655</v>
      </c>
      <c r="C9" s="18">
        <f>C8*(1-Assumptions!B8)</f>
        <v>1475582839.3734467</v>
      </c>
      <c r="D9" s="18">
        <f>D8*(1-Assumptions!B8)</f>
        <v>1556967172.423741</v>
      </c>
      <c r="E9" s="18">
        <f>E8*(1-Assumptions!B8)</f>
        <v>1642840179.0268223</v>
      </c>
      <c r="F9" s="18">
        <f>F8*(1-Assumptions!B8)</f>
        <v>1733449427.5967612</v>
      </c>
    </row>
    <row r="10" spans="1:6" x14ac:dyDescent="0.25">
      <c r="A10" t="s">
        <v>46</v>
      </c>
      <c r="B10" s="18">
        <f>B6*Assumptions!B9</f>
        <v>204483608.39043626</v>
      </c>
      <c r="C10" s="18">
        <f>C6*Assumptions!B9</f>
        <v>215761702.47266316</v>
      </c>
      <c r="D10" s="18">
        <f>D6*Assumptions!B9</f>
        <v>227661828.83967206</v>
      </c>
      <c r="E10" s="18">
        <f>E6*Assumptions!B9</f>
        <v>240218295.0757489</v>
      </c>
      <c r="F10" s="18">
        <f>F6*Assumptions!B9</f>
        <v>253467300.96654654</v>
      </c>
    </row>
    <row r="11" spans="1:6" x14ac:dyDescent="0.25">
      <c r="A11" t="s">
        <v>47</v>
      </c>
      <c r="B11" s="18">
        <f>-B6*Assumptions!B10</f>
        <v>-234376084.26902795</v>
      </c>
      <c r="C11" s="18">
        <f>-C6*Assumptions!B10</f>
        <v>-247302868.71799445</v>
      </c>
      <c r="D11" s="18">
        <f>-D6*Assumptions!B10</f>
        <v>-260942617.3617131</v>
      </c>
      <c r="E11" s="18">
        <f>-E6*Assumptions!B10</f>
        <v>-275334653.04532045</v>
      </c>
      <c r="F11" s="18">
        <f>-F6*Assumptions!B10</f>
        <v>-290520467.4271429</v>
      </c>
    </row>
    <row r="12" spans="1:6" x14ac:dyDescent="0.25">
      <c r="A12" t="s">
        <v>48</v>
      </c>
      <c r="B12" s="18">
        <f>-(B6-Assumptions!B29)*Assumptions!B11</f>
        <v>-103657123.75891578</v>
      </c>
      <c r="C12" s="18">
        <f>-(C6-B6)*Assumptions!B11</f>
        <v>-109374231.37085639</v>
      </c>
      <c r="D12" s="18">
        <f>-(D6-C6)*Assumptions!B11</f>
        <v>-115406660.47987562</v>
      </c>
      <c r="E12" s="18">
        <f>-(E6-D6)*Assumptions!B11</f>
        <v>-121771802.3357575</v>
      </c>
      <c r="F12" s="18">
        <f>-(F6-E6)*Assumptions!B11</f>
        <v>-128488007.38571317</v>
      </c>
    </row>
    <row r="13" spans="1:6" x14ac:dyDescent="0.25">
      <c r="A13" s="19" t="s">
        <v>49</v>
      </c>
      <c r="B13" s="20">
        <f>B9+B10+B11+B12</f>
        <v>1264902952.4891477</v>
      </c>
      <c r="C13" s="20">
        <f>C9+C10+C11+C12</f>
        <v>1334667441.7572591</v>
      </c>
      <c r="D13" s="20">
        <f>D9+D10+D11+D12</f>
        <v>1408279723.4218245</v>
      </c>
      <c r="E13" s="20">
        <f>E9+E10+E11+E12</f>
        <v>1485952018.7214932</v>
      </c>
      <c r="F13" s="20">
        <f>F9+F10+F11+F12</f>
        <v>1567908253.7504518</v>
      </c>
    </row>
    <row r="14" spans="1:6" x14ac:dyDescent="0.25">
      <c r="A14" t="s">
        <v>50</v>
      </c>
      <c r="B14" s="21">
        <f>1/(1+Assumptions!$B$26)^(1-0.5*Assumptions!$B$32)</f>
        <v>0.9560841685008044</v>
      </c>
      <c r="C14" s="21">
        <f>1/(1+Assumptions!$B$26)^(2-0.5*Assumptions!$B$32)</f>
        <v>0.8739536101873269</v>
      </c>
      <c r="D14" s="21">
        <f>1/(1+Assumptions!$B$26)^(3-0.5*Assumptions!$B$32)</f>
        <v>0.798878318377698</v>
      </c>
      <c r="E14" s="21">
        <f>1/(1+Assumptions!$B$26)^(4-0.5*Assumptions!$B$32)</f>
        <v>0.730252224070775</v>
      </c>
      <c r="F14" s="21">
        <f>1/(1+Assumptions!$B$26)^(5-0.5*Assumptions!$B$32)</f>
        <v>0.6675213214488466</v>
      </c>
    </row>
    <row r="15" spans="1:6" x14ac:dyDescent="0.25">
      <c r="A15" s="19" t="s">
        <v>51</v>
      </c>
      <c r="B15" s="20">
        <f>B13*B14</f>
        <v>1209353687.564799</v>
      </c>
      <c r="C15" s="20">
        <f>C13*C14</f>
        <v>1166437429.1232405</v>
      </c>
      <c r="D15" s="20">
        <f>D13*D14</f>
        <v>1125044137.2526367</v>
      </c>
      <c r="E15" s="20">
        <f>E13*E14</f>
        <v>1085119766.5338283</v>
      </c>
      <c r="F15" s="20">
        <f>F13*F14</f>
        <v>1046612189.4540551</v>
      </c>
    </row>
    <row r="17" spans="1:2" x14ac:dyDescent="0.25">
      <c r="A17" s="22" t="s">
        <v>52</v>
      </c>
      <c r="B17" s="23">
        <f>SUM(B15:F15)</f>
        <v>5632567209.928559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1567908253.7504518</v>
      </c>
    </row>
    <row r="5" spans="1:2" x14ac:dyDescent="0.25">
      <c r="A5" t="s">
        <v>56</v>
      </c>
      <c r="B5" s="18">
        <f>IF(Assumptions!$B$33=0,B4,B4-Forecast!F11-Forecast!F10-Forecast!F12)</f>
        <v>1745549187.6589794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0.07885595880277202</v>
      </c>
    </row>
    <row r="7" spans="1:2" x14ac:dyDescent="0.25">
      <c r="A7" t="s">
        <v>58</v>
      </c>
      <c r="B7" s="18">
        <f>-MAX(Forecast!F9,0)*B6</f>
        <v>-137646954.83024865</v>
      </c>
    </row>
    <row r="8" spans="1:2" x14ac:dyDescent="0.25">
      <c r="A8" t="s">
        <v>59</v>
      </c>
      <c r="B8" s="18">
        <f>IF(OR(Assumptions!$B$33=0,Assumptions!B12&lt;=0),B5,MAX(B5+B7,0))</f>
        <v>1607902232.8287308</v>
      </c>
    </row>
    <row r="9" spans="1:2" x14ac:dyDescent="0.25">
      <c r="A9" t="s">
        <v>60</v>
      </c>
      <c r="B9" s="18">
        <f>B8*(1+Assumptions!B12)/(Assumptions!B26-Assumptions!B12)</f>
        <v>23893857153.081375</v>
      </c>
    </row>
    <row r="10" spans="1:2" x14ac:dyDescent="0.25">
      <c r="A10" t="s">
        <v>61</v>
      </c>
      <c r="B10" s="18">
        <f>B9/(1+Assumptions!B26)^(5-0.5*Assumptions!B32)</f>
        <v>15949659101.334854</v>
      </c>
    </row>
    <row r="11" spans="1:2" x14ac:dyDescent="0.25">
      <c r="A11" t="s">
        <v>62</v>
      </c>
      <c r="B11" s="18">
        <f>Forecast!B17+B10</f>
        <v>21582226311.263412</v>
      </c>
    </row>
    <row r="12" spans="1:2" x14ac:dyDescent="0.25">
      <c r="A12" t="s">
        <v>63</v>
      </c>
      <c r="B12" s="18">
        <f>-Assumptions!B30</f>
        <v>-165100000</v>
      </c>
    </row>
    <row r="13" spans="1:2" x14ac:dyDescent="0.25">
      <c r="A13" t="s">
        <v>64</v>
      </c>
      <c r="B13" s="18">
        <f>B11+B12</f>
        <v>21417126311.263412</v>
      </c>
    </row>
    <row r="14" spans="1:2" x14ac:dyDescent="0.25">
      <c r="A14" s="19" t="s">
        <v>65</v>
      </c>
      <c r="B14" s="24">
        <f>B13/Assumptions!B31</f>
        <v>18.61873103648041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2447707082.7345986</v>
      </c>
    </row>
    <row r="18" spans="1:2" x14ac:dyDescent="0.25">
      <c r="A18" t="s">
        <v>60</v>
      </c>
      <c r="B18" s="18">
        <f>B17*Assumptions!B13</f>
        <v>48954141654.69197</v>
      </c>
    </row>
    <row r="19" spans="1:2" x14ac:dyDescent="0.25">
      <c r="A19" t="s">
        <v>61</v>
      </c>
      <c r="B19" s="18">
        <f>B18/(1+Assumptions!B26)^(5-0.5*Assumptions!B32)</f>
        <v>32677933327.73401</v>
      </c>
    </row>
    <row r="20" spans="1:2" x14ac:dyDescent="0.25">
      <c r="A20" t="s">
        <v>62</v>
      </c>
      <c r="B20" s="18">
        <f>Forecast!B17+B19</f>
        <v>38310500537.66257</v>
      </c>
    </row>
    <row r="21" spans="1:2" x14ac:dyDescent="0.25">
      <c r="A21" t="s">
        <v>63</v>
      </c>
      <c r="B21" s="18">
        <f>-Assumptions!B30</f>
        <v>-165100000</v>
      </c>
    </row>
    <row r="22" spans="1:2" x14ac:dyDescent="0.25">
      <c r="A22" t="s">
        <v>64</v>
      </c>
      <c r="B22" s="18">
        <f>B20+B21</f>
        <v>38145400537.66257</v>
      </c>
    </row>
    <row r="23" spans="1:2" x14ac:dyDescent="0.25">
      <c r="A23" s="19" t="s">
        <v>65</v>
      </c>
      <c r="B23" s="25">
        <f>B22/Assumptions!B31</f>
        <v>33.16126274681611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49.01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18.61873103648041</v>
      </c>
    </row>
    <row r="29" spans="1:2" x14ac:dyDescent="0.25">
      <c r="A29" s="19" t="s">
        <v>73</v>
      </c>
      <c r="B29" s="12">
        <f>B28/B26-1</f>
        <v>-0.6201034271275166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0.073976</v>
      </c>
      <c r="B5" s="31">
        <v>23.025364224047344</v>
      </c>
      <c r="C5" s="31">
        <v>24.46615855457025</v>
      </c>
      <c r="D5" s="31">
        <v>26.19759236618482</v>
      </c>
      <c r="E5" s="31">
        <v>28.318801374198863</v>
      </c>
      <c r="F5" s="31">
        <v>30.979791426980384</v>
      </c>
    </row>
    <row r="6" spans="1:6" x14ac:dyDescent="0.25">
      <c r="A6" s="30">
        <v>0.083976</v>
      </c>
      <c r="B6" s="31">
        <v>19.66350928841657</v>
      </c>
      <c r="C6" s="31">
        <v>20.633317079047774</v>
      </c>
      <c r="D6" s="31">
        <v>21.764742892622845</v>
      </c>
      <c r="E6" s="31">
        <v>23.10270058611819</v>
      </c>
      <c r="F6" s="31">
        <v>24.710445186461346</v>
      </c>
    </row>
    <row r="7" spans="1:6" x14ac:dyDescent="0.25">
      <c r="A7" s="30">
        <v>0.093976</v>
      </c>
      <c r="B7" s="31">
        <v>17.15550798677618</v>
      </c>
      <c r="C7" s="31">
        <v>17.838734799815633</v>
      </c>
      <c r="D7" s="32">
        <v>18.618698370863676</v>
      </c>
      <c r="E7" s="31">
        <v>19.51807988302226</v>
      </c>
      <c r="F7" s="31">
        <v>20.56725218485109</v>
      </c>
    </row>
    <row r="8" spans="1:6" x14ac:dyDescent="0.25">
      <c r="A8" s="30">
        <v>0.103976</v>
      </c>
      <c r="B8" s="31">
        <v>15.213342498546055</v>
      </c>
      <c r="C8" s="31">
        <v>15.711397738465935</v>
      </c>
      <c r="D8" s="31">
        <v>16.27057544945358</v>
      </c>
      <c r="E8" s="31">
        <v>16.903269341171825</v>
      </c>
      <c r="F8" s="31">
        <v>17.625466752853995</v>
      </c>
    </row>
    <row r="9" spans="1:6" x14ac:dyDescent="0.25">
      <c r="A9" s="30">
        <v>0.113976</v>
      </c>
      <c r="B9" s="31">
        <v>13.665401047553166</v>
      </c>
      <c r="C9" s="31">
        <v>14.03821614806863</v>
      </c>
      <c r="D9" s="31">
        <v>14.451276986309084</v>
      </c>
      <c r="E9" s="31">
        <v>14.91177235509481</v>
      </c>
      <c r="F9" s="31">
        <v>15.428711547858978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8200500000</v>
      </c>
      <c r="C5" s="18">
        <v>7546000000</v>
      </c>
      <c r="D5" s="18">
        <v>7346700000</v>
      </c>
      <c r="E5" s="18">
        <v>6980600000</v>
      </c>
      <c r="F5" s="8" t="s">
        <v>84</v>
      </c>
    </row>
    <row r="6" spans="1:6" x14ac:dyDescent="0.25">
      <c r="A6" t="s">
        <v>44</v>
      </c>
      <c r="B6" s="18">
        <v>1655700000</v>
      </c>
      <c r="C6" s="18">
        <v>1510000000</v>
      </c>
      <c r="D6" s="18">
        <v>1528700000</v>
      </c>
      <c r="E6" s="18">
        <v>1453600000</v>
      </c>
      <c r="F6" s="8" t="s">
        <v>85</v>
      </c>
    </row>
    <row r="7" spans="1:6" x14ac:dyDescent="0.25">
      <c r="A7" t="s">
        <v>86</v>
      </c>
      <c r="B7" s="18">
        <v>179200000</v>
      </c>
      <c r="C7" s="18">
        <v>175400000</v>
      </c>
      <c r="D7" s="18">
        <v>177300000</v>
      </c>
      <c r="E7" s="18">
        <v>176600000</v>
      </c>
      <c r="F7" s="8" t="s">
        <v>87</v>
      </c>
    </row>
    <row r="8" spans="1:6" x14ac:dyDescent="0.25">
      <c r="A8" t="s">
        <v>88</v>
      </c>
      <c r="B8" s="18">
        <v>245300000</v>
      </c>
      <c r="C8" s="18">
        <v>226500000</v>
      </c>
      <c r="D8" s="18">
        <v>172800000</v>
      </c>
      <c r="E8" s="18">
        <v>173800000</v>
      </c>
      <c r="F8" s="8" t="s">
        <v>89</v>
      </c>
    </row>
    <row r="9" spans="1:6" x14ac:dyDescent="0.25">
      <c r="A9" t="s">
        <v>90</v>
      </c>
      <c r="B9" s="18">
        <v>150000000</v>
      </c>
      <c r="C9" s="18">
        <v>154100000</v>
      </c>
      <c r="D9" s="18">
        <v>-105900000</v>
      </c>
      <c r="E9" s="18">
        <v>324100000</v>
      </c>
      <c r="F9" s="8" t="s">
        <v>91</v>
      </c>
    </row>
    <row r="10" spans="1:6" x14ac:dyDescent="0.25">
      <c r="A10" t="s">
        <v>92</v>
      </c>
      <c r="B10" s="18">
        <v>441900000</v>
      </c>
      <c r="C10" s="18">
        <v>485400000</v>
      </c>
      <c r="D10" s="18">
        <v>535000000</v>
      </c>
      <c r="E10" s="18">
        <v>802100000</v>
      </c>
      <c r="F10" s="8" t="s">
        <v>93</v>
      </c>
    </row>
    <row r="11" spans="1:6" x14ac:dyDescent="0.25">
      <c r="A11" t="s">
        <v>94</v>
      </c>
      <c r="B11" s="18">
        <v>276800000</v>
      </c>
      <c r="C11" s="18">
        <v>255800000</v>
      </c>
      <c r="D11" s="18">
        <v>221300000</v>
      </c>
      <c r="E11" s="18">
        <v>230100000</v>
      </c>
      <c r="F11" s="8" t="s">
        <v>95</v>
      </c>
    </row>
    <row r="12" spans="1:6" x14ac:dyDescent="0.25">
      <c r="A12" t="s">
        <v>32</v>
      </c>
      <c r="B12" s="34">
        <v>1150300000</v>
      </c>
      <c r="C12" s="34">
        <v>1148600000</v>
      </c>
      <c r="D12" s="34">
        <v>1146000000</v>
      </c>
      <c r="E12" s="34">
        <v>1151200000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2026-09-19T00:06:17Z</dcterms:modified>
</cp:coreProperties>
</file>