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<sst xmlns="http://schemas.openxmlformats.org/spreadsheetml/2006/main" count="120" uniqueCount="107">
  <si>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Fastenal Company (FAST)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</si>
  <si>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</si>
  <si>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</si>
  <si>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</si>
  <si>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</si>
  <si>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</si>
  <si>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</si>
  <si>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</si>
  <si>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</si>
  <si>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</si>
  <si>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</si>
  <si>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</si>
  <si>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</si>
  <si>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</si>
  <si>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</si>
  <si>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</si>
  <si>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</si>
  <si>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</si>
  <si>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</si>
  <si>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</si>
  <si>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</si>
  <si>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</si>
  <si>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</si>
  <si>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</si>
  <si>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267.0x interest cover. Book interest / average debt was lower, at 1.3%.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</si>
  <si>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</si>
  <si>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</si>
  <si>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</si>
  <si>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</si>
  <si>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</si>
  <si>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</si>
  <si>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</si>
  <si>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</si>
  <si>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</si>
  <si>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</si>
  <si>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</si>
  <si>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</si>
  <si>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</si>
  <si>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</si>
  <si>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</si>
  <si>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</si>
  <si>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</si>
  <si>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</si>
  <si>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</si>
  <si>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</si>
  <si>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</si>
  <si>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</si>
  <si>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</si>
  <si>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</si>
  <si>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</si>
  <si>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</si>
  <si>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</si>
  <si>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</si>
  <si>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</si>
  <si>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</si>
  <si>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</si>
  <si>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</si>
  <si>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</si>
  <si>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</si>
  <si>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</si>
  <si>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</si>
  <si>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</si>
  <si>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</si>
  <si>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</si>
  <si>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</si>
  <si>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</si>
  <si>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</si>
  <si>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</si>
  <si>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</si>
  <si>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</si>
  <si>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</si>
  <si>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</si>
  <si>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</si>
  <si>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</si>
  <si>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</si>
  <si>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</si>
  <si>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</si>
  <si>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</si>
  <si>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</si>
  <si>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</si>
  <si>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</si>
  <si>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</si>
  <si>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</si>
  <si>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</si>
  <si>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</si>
  <si>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</si>
  <si>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</si>
  <si>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</si>
  <si>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</si>
  <si>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</si>
  <si>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</si>
  <si>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</si>
  <si>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</si>
  <si>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</si>
  <si>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</si>
  <si>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</si>
  <si>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</si>
  <si>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</si>
  <si>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</si>
  <si>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</si>
  <si>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</si>
  <si>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</si>
  <si>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</si>
  <si>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</si>
  <si>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</si>
  <si>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32.5x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</si>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</sst>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0.1369274324736296</v>
      </c>
    </row>
    <row r="7" spans="1:2" x14ac:dyDescent="0.25">
      <c r="A7" t="s">
        <v>4</v>
      </c>
      <c r="B7" s="5">
        <v>0.20458060170405384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0.023632099543038916</v>
      </c>
    </row>
    <row r="10" spans="1:3" x14ac:dyDescent="0.25">
      <c r="A10" t="s">
        <v>7</v>
      </c>
      <c r="B10" s="5">
        <v>0.027086762589682456</v>
      </c>
      <c r="C10" s="6" t="s">
        <v>8</v>
      </c>
    </row>
    <row r="11" spans="1:2" x14ac:dyDescent="0.25">
      <c r="A11" t="s">
        <v>9</v>
      </c>
      <c r="B11" s="5">
        <v>0.32658246946117025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0.31703374582671584</v>
      </c>
      <c r="C14" s="6" t="s">
        <v>13</v>
      </c>
    </row>
    <row r="15" spans="1:3" x14ac:dyDescent="0.25">
      <c r="A15" t="s">
        <v>14</v>
      </c>
      <c r="B15" s="5">
        <v>0.022204093536867104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0.7923</v>
      </c>
      <c r="C19" s="6" t="s">
        <v>21</v>
      </c>
    </row>
    <row r="20" spans="1:2" x14ac:dyDescent="0.25">
      <c r="A20" t="s">
        <v>22</v>
      </c>
      <c r="B20" s="9">
        <f>B17+B19*B18</f>
        <v>0.08245429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59556421632</v>
      </c>
    </row>
    <row r="23" spans="1:2" x14ac:dyDescent="0.25">
      <c r="A23" t="s">
        <v>26</v>
      </c>
      <c r="B23" s="10">
        <v>441900000</v>
      </c>
    </row>
    <row r="24" spans="1:2" x14ac:dyDescent="0.25">
      <c r="A24" t="s">
        <v>27</v>
      </c>
      <c r="B24" s="9">
        <f>B22/(B22+B23)</f>
        <v>0.9926347939745649</v>
      </c>
    </row>
    <row r="25" spans="1:2" x14ac:dyDescent="0.25">
      <c r="A25" t="s">
        <v>28</v>
      </c>
      <c r="B25" s="9">
        <f>1-B24</f>
        <v>0.0073652060254351115</v>
      </c>
    </row>
    <row r="26" spans="1:2" x14ac:dyDescent="0.25">
      <c r="A26" t="s">
        <v>29</v>
      </c>
      <c r="B26" s="11">
        <f>B24*B20+B25*B21*(1-B8)</f>
        <v>0.08215502923198839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8200500000</v>
      </c>
      <c r="C29" s="6" t="s">
        <v>32</v>
      </c>
    </row>
    <row r="30" spans="1:2" x14ac:dyDescent="0.25">
      <c r="A30" t="s">
        <v>33</v>
      </c>
      <c r="B30" s="10">
        <v>165100000</v>
      </c>
    </row>
    <row r="31" spans="1:2" x14ac:dyDescent="0.25">
      <c r="A31" t="s">
        <v>34</v>
      </c>
      <c r="B31" s="12">
        <v>1150300000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0.1369274324736296</v>
      </c>
      <c r="C5" s="5">
        <v>0.09468631912276915</v>
      </c>
      <c r="D5" s="5">
        <v>0.085975529232423</v>
      </c>
      <c r="E5" s="5">
        <v>0.07726473934207687</v>
      </c>
      <c r="F5" s="5">
        <v>0.06855394945173071</v>
      </c>
      <c r="G5" s="5">
        <v>0.05984315956138457</v>
      </c>
      <c r="H5" s="5">
        <v>0.05113236967103843</v>
      </c>
      <c r="I5" s="5">
        <v>0.04242157978069228</v>
      </c>
      <c r="J5" s="5">
        <v>0.033710789890346135</v>
      </c>
      <c r="K5" s="5">
        <v>0.024999999999999994</v>
      </c>
    </row>
    <row r="6" spans="1:11" x14ac:dyDescent="0.25">
      <c r="A6" t="s">
        <v>50</v>
      </c>
      <c r="B6" s="18">
        <f>Assumptions!B29*(1+B5)</f>
        <v>9323373410</v>
      </c>
      <c r="C6" s="18">
        <f>B6*(1+C5)</f>
        <v>10206169320</v>
      </c>
      <c r="D6" s="18">
        <f>C6*(1+D5)</f>
        <v>11083650128.722717</v>
      </c>
      <c r="E6" s="18">
        <f>D6*(1+E5)</f>
        <v>11940025466.877254</v>
      </c>
      <c r="F6" s="18">
        <f>E6*(1+F5)</f>
        <v>12758561369.185934</v>
      </c>
      <c r="G6" s="18">
        <f>F6*(1+G5)</f>
        <v>13522073992.975845</v>
      </c>
      <c r="H6" s="18">
        <f>G6*(1+H5)</f>
        <v>14213489679.10382</v>
      </c>
      <c r="I6" s="18">
        <f>H6*(1+I5)</f>
        <v>14816448365.487972</v>
      </c>
      <c r="J6" s="18">
        <f>I6*(1+J5)</f>
        <v>15315922543.2581</v>
      </c>
      <c r="K6" s="18">
        <f>J6*(1+K5)</f>
        <v>15698820606.839552</v>
      </c>
    </row>
    <row r="7" spans="1:11" x14ac:dyDescent="0.25">
      <c r="A7" t="s">
        <v>4</v>
      </c>
      <c r="B7" s="9">
        <f>Assumptions!B7</f>
        <v>0.20458060170405384</v>
      </c>
      <c r="C7" s="9">
        <f>Assumptions!B7</f>
        <v>0.20458060170405384</v>
      </c>
      <c r="D7" s="9">
        <f>Assumptions!B7</f>
        <v>0.20458060170405384</v>
      </c>
      <c r="E7" s="9">
        <f>Assumptions!B7</f>
        <v>0.20458060170405384</v>
      </c>
      <c r="F7" s="9">
        <f>Assumptions!B7</f>
        <v>0.20458060170405384</v>
      </c>
      <c r="G7" s="9">
        <f>Assumptions!B7</f>
        <v>0.20458060170405384</v>
      </c>
      <c r="H7" s="9">
        <f>Assumptions!B7</f>
        <v>0.20458060170405384</v>
      </c>
      <c r="I7" s="9">
        <f>Assumptions!B7</f>
        <v>0.20458060170405384</v>
      </c>
      <c r="J7" s="9">
        <f>Assumptions!B7</f>
        <v>0.20458060170405384</v>
      </c>
      <c r="K7" s="9">
        <f>Assumptions!B7</f>
        <v>0.20458060170405384</v>
      </c>
    </row>
    <row r="8" spans="1:11" x14ac:dyDescent="0.25">
      <c r="A8" t="s">
        <v>51</v>
      </c>
      <c r="B8" s="18">
        <f>B6*B7</f>
        <v>1907381342.1293764</v>
      </c>
      <c r="C8" s="18">
        <f>C6*C7</f>
        <v>2087984260.579054</v>
      </c>
      <c r="D8" s="18">
        <f>D6*D7</f>
        <v>2267499812.4113073</v>
      </c>
      <c r="E8" s="18">
        <f>E6*E7</f>
        <v>2442697594.375475</v>
      </c>
      <c r="F8" s="18">
        <f>F6*F7</f>
        <v>2610154161.786155</v>
      </c>
      <c r="G8" s="18">
        <f>G6*G7</f>
        <v>2766354033.7697363</v>
      </c>
      <c r="H8" s="18">
        <f>H6*H7</f>
        <v>2907804270.865419</v>
      </c>
      <c r="I8" s="18">
        <f>I6*I7</f>
        <v>3031157921.7285743</v>
      </c>
      <c r="J8" s="18">
        <f>J6*J7</f>
        <v>3133340649.552425</v>
      </c>
      <c r="K8" s="18">
        <f>K6*K7</f>
        <v>3211674165.7912354</v>
      </c>
    </row>
    <row r="9" spans="1:11" x14ac:dyDescent="0.25">
      <c r="A9" t="s">
        <v>52</v>
      </c>
      <c r="B9" s="18">
        <f>B8*(1-Assumptions!B8)</f>
        <v>1506831260.2822075</v>
      </c>
      <c r="C9" s="18">
        <f>C8*(1-Assumptions!B8)</f>
        <v>1649507565.8574529</v>
      </c>
      <c r="D9" s="18">
        <f>D8*(1-Assumptions!B8)</f>
        <v>1791324851.8049328</v>
      </c>
      <c r="E9" s="18">
        <f>E8*(1-Assumptions!B8)</f>
        <v>1929731099.5566254</v>
      </c>
      <c r="F9" s="18">
        <f>F8*(1-Assumptions!B8)</f>
        <v>2062021787.8110628</v>
      </c>
      <c r="G9" s="18">
        <f>G8*(1-Assumptions!B8)</f>
        <v>2185419686.678092</v>
      </c>
      <c r="H9" s="18">
        <f>H8*(1-Assumptions!B8)</f>
        <v>2297165373.983681</v>
      </c>
      <c r="I9" s="18">
        <f>I8*(1-Assumptions!B8)</f>
        <v>2394614758.1655736</v>
      </c>
      <c r="J9" s="18">
        <f>J8*(1-Assumptions!B8)</f>
        <v>2475339113.1464157</v>
      </c>
      <c r="K9" s="18">
        <f>K8*(1-Assumptions!B8)</f>
        <v>2537222590.975076</v>
      </c>
    </row>
    <row r="10" spans="1:11" x14ac:dyDescent="0.25">
      <c r="A10" t="s">
        <v>53</v>
      </c>
      <c r="B10" s="18">
        <f>B6*Assumptions!B9</f>
        <v>220330888.50204217</v>
      </c>
      <c r="C10" s="18">
        <f>C6*Assumptions!B9</f>
        <v>241193209.3233498</v>
      </c>
      <c r="D10" s="18">
        <f>D6*Assumptions!B9</f>
        <v>261929923.14219135</v>
      </c>
      <c r="E10" s="18">
        <f>E6*Assumptions!B9</f>
        <v>282167870.379663</v>
      </c>
      <c r="F10" s="18">
        <f>F6*Assumptions!B9</f>
        <v>301511592.3025729</v>
      </c>
      <c r="G10" s="18">
        <f>G6*Assumptions!B9</f>
        <v>319554998.6303429</v>
      </c>
      <c r="H10" s="18">
        <f>H6*Assumptions!B9</f>
        <v>335894602.95053774</v>
      </c>
      <c r="I10" s="18">
        <f>I6*Assumptions!B9</f>
        <v>350143782.647508</v>
      </c>
      <c r="J10" s="18">
        <f>J6*Assumptions!B9</f>
        <v>361947406.13574916</v>
      </c>
      <c r="K10" s="18">
        <f>K6*Assumptions!B9</f>
        <v>370996091.2891429</v>
      </c>
    </row>
    <row r="11" spans="1:11" x14ac:dyDescent="0.25">
      <c r="A11" t="s">
        <v>54</v>
      </c>
      <c r="B11" s="18">
        <f>-B6*B19</f>
        <v>-252540002.09162816</v>
      </c>
      <c r="C11" s="18">
        <f>-C6*C19</f>
        <v>-285468539.5260577</v>
      </c>
      <c r="D11" s="18">
        <f>-D6*D19</f>
        <v>-319803496.91821903</v>
      </c>
      <c r="E11" s="18">
        <f>-E6*E19</f>
        <v>-355061228.5544016</v>
      </c>
      <c r="F11" s="18">
        <f>-F6*F19</f>
        <v>-390673396.4943081</v>
      </c>
      <c r="G11" s="18">
        <f>-G6*G19</f>
        <v>-425998356.6294173</v>
      </c>
      <c r="H11" s="18">
        <f>-H6*H19</f>
        <v>-460337310.39405954</v>
      </c>
      <c r="I11" s="18">
        <f>-I6*I19</f>
        <v>-492954867.50542206</v>
      </c>
      <c r="J11" s="18">
        <f>-J6*J19</f>
        <v>-523103337.99762404</v>
      </c>
      <c r="K11" s="18">
        <f>-K6*K19</f>
        <v>-550049758.2890755</v>
      </c>
    </row>
    <row r="12" spans="1:11" x14ac:dyDescent="0.25">
      <c r="A12" t="s">
        <v>55</v>
      </c>
      <c r="B12" s="18">
        <f>-(B6-Assumptions!B29)*Assumptions!B11</f>
        <v>-366710771.1300851</v>
      </c>
      <c r="C12" s="18">
        <f>-(C6-B6)*Assumptions!B11</f>
        <v>-288305668.318021</v>
      </c>
      <c r="D12" s="18">
        <f>-(D6-C6)*Assumptions!B11</f>
        <v>-286569849.4174498</v>
      </c>
      <c r="E12" s="18">
        <f>-(E6-D6)*Assumptions!B11</f>
        <v>-279677172.7201535</v>
      </c>
      <c r="F12" s="18">
        <f>-(F6-E6)*Assumptions!B11</f>
        <v>-267319476.3185958</v>
      </c>
      <c r="G12" s="18">
        <f>-(G6-F6)*Assumptions!B11</f>
        <v>-249349838.14208668</v>
      </c>
      <c r="H12" s="18">
        <f>-(H6-G6)*Assumptions!B11</f>
        <v>-225804242.1998636</v>
      </c>
      <c r="I12" s="18">
        <f>-(I6-H6)*Assumptions!B11</f>
        <v>-196915736.78239948</v>
      </c>
      <c r="J12" s="18">
        <f>-(J6-I6)*Assumptions!B11</f>
        <v>-163119510.40825602</v>
      </c>
      <c r="K12" s="18">
        <f>-(K6-J6)*Assumptions!B11</f>
        <v>-125047795.15633059</v>
      </c>
    </row>
    <row r="13" spans="1:11" x14ac:dyDescent="0.25">
      <c r="A13" s="19" t="s">
        <v>56</v>
      </c>
      <c r="B13" s="20">
        <f>B9+B10+B11+B12</f>
        <v>1107911375.5625367</v>
      </c>
      <c r="C13" s="20">
        <f>C9+C10+C11+C12</f>
        <v>1316926567.3367238</v>
      </c>
      <c r="D13" s="20">
        <f>D9+D10+D11+D12</f>
        <v>1446881428.6114554</v>
      </c>
      <c r="E13" s="20">
        <f>E9+E10+E11+E12</f>
        <v>1577160568.6617332</v>
      </c>
      <c r="F13" s="20">
        <f>F9+F10+F11+F12</f>
        <v>1705540507.3007317</v>
      </c>
      <c r="G13" s="20">
        <f>G9+G10+G11+G12</f>
        <v>1829626490.5369308</v>
      </c>
      <c r="H13" s="20">
        <f>H9+H10+H11+H12</f>
        <v>1946918424.3402956</v>
      </c>
      <c r="I13" s="20">
        <f>I9+I10+I11+I12</f>
        <v>2054887936.5252602</v>
      </c>
      <c r="J13" s="20">
        <f>J9+J10+J11+J12</f>
        <v>2151063670.876285</v>
      </c>
      <c r="K13" s="20">
        <f>K9+K10+K11+K12</f>
        <v>2233121128.8188133</v>
      </c>
    </row>
    <row r="14" spans="1:11" x14ac:dyDescent="0.25">
      <c r="A14" t="s">
        <v>57</v>
      </c>
      <c r="B14" s="21">
        <f>1/(1+Assumptions!$B$26)^(1-0.5*Assumptions!$B$32)</f>
        <v>0.9612918469650671</v>
      </c>
      <c r="C14" s="21">
        <f>1/(1+Assumptions!$B$26)^(2-0.5*Assumptions!$B$32)</f>
        <v>0.888312506986454</v>
      </c>
      <c r="D14" s="21">
        <f>1/(1+Assumptions!$B$26)^(3-0.5*Assumptions!$B$32)</f>
        <v>0.820873611442618</v>
      </c>
      <c r="E14" s="21">
        <f>1/(1+Assumptions!$B$26)^(4-0.5*Assumptions!$B$32)</f>
        <v>0.7585545409562959</v>
      </c>
      <c r="F14" s="21">
        <f>1/(1+Assumptions!$B$26)^(5-0.5*Assumptions!$B$32)</f>
        <v>0.7009666087257816</v>
      </c>
      <c r="G14" s="21">
        <f>1/(1+Assumptions!$B$26)^(6-0.5*Assumptions!$B$32)</f>
        <v>0.647750636268134</v>
      </c>
      <c r="H14" s="21">
        <f>1/(1+Assumptions!$B$26)^(7-0.5*Assumptions!$B$32)</f>
        <v>0.5985747132070776</v>
      </c>
      <c r="I14" s="21">
        <f>1/(1+Assumptions!$B$26)^(8-0.5*Assumptions!$B$32)</f>
        <v>0.5531321271332902</v>
      </c>
      <c r="J14" s="21">
        <f>1/(1+Assumptions!$B$26)^(9-0.5*Assumptions!$B$32)</f>
        <v>0.5111394506255275</v>
      </c>
      <c r="K14" s="21">
        <f>1/(1+Assumptions!$B$26)^(10-0.5*Assumptions!$B$32)</f>
        <v>0.4723347735012478</v>
      </c>
    </row>
    <row r="15" spans="1:11" x14ac:dyDescent="0.25">
      <c r="A15" s="19" t="s">
        <v>58</v>
      </c>
      <c r="B15" s="20">
        <f>B13*B14</f>
        <v>1065026172.488119</v>
      </c>
      <c r="C15" s="20">
        <f>C13*C14</f>
        <v>1169842340.5479505</v>
      </c>
      <c r="D15" s="20">
        <f>D13*D14</f>
        <v>1187706783.63354</v>
      </c>
      <c r="E15" s="20">
        <f>E13*E14</f>
        <v>1196362311.1755717</v>
      </c>
      <c r="F15" s="20">
        <f>F13*F14</f>
        <v>1195526945.4470432</v>
      </c>
      <c r="G15" s="20">
        <f>G13*G14</f>
        <v>1185141723.37833</v>
      </c>
      <c r="H15" s="20">
        <f>H13*H14</f>
        <v>1165376137.4870677</v>
      </c>
      <c r="I15" s="20">
        <f>I13*I14</f>
        <v>1136624535.3507545</v>
      </c>
      <c r="J15" s="20">
        <f>J13*J14</f>
        <v>1099493502.9922347</v>
      </c>
      <c r="K15" s="20">
        <f>K13*K14</f>
        <v>1054780762.581485</v>
      </c>
    </row>
    <row r="17" spans="1:2" x14ac:dyDescent="0.25">
      <c r="A17" s="22" t="s">
        <v>59</v>
      </c>
      <c r="B17" s="23">
        <f>SUM(B15:K15)</f>
        <v>11455881215.082096</v>
      </c>
    </row>
    <row r="19" spans="1:11" x14ac:dyDescent="0.25">
      <c r="A19" t="s">
        <v>7</v>
      </c>
      <c r="B19" s="9">
        <f>Assumptions!$B$10+($B$20-Assumptions!$B$10)*0/9</f>
        <v>0.027086762589682456</v>
      </c>
      <c r="C19" s="9">
        <f>Assumptions!$B$10+($B$20-Assumptions!$B$10)*1/9</f>
        <v>0.0279701943575102</v>
      </c>
      <c r="D19" s="9">
        <f>Assumptions!$B$10+($B$20-Assumptions!$B$10)*2/9</f>
        <v>0.02885362612533794</v>
      </c>
      <c r="E19" s="9">
        <f>Assumptions!$B$10+($B$20-Assumptions!$B$10)*3/9</f>
        <v>0.029737057893165688</v>
      </c>
      <c r="F19" s="9">
        <f>Assumptions!$B$10+($B$20-Assumptions!$B$10)*4/9</f>
        <v>0.03062048966099343</v>
      </c>
      <c r="G19" s="9">
        <f>Assumptions!$B$10+($B$20-Assumptions!$B$10)*5/9</f>
        <v>0.03150392142882118</v>
      </c>
      <c r="H19" s="9">
        <f>Assumptions!$B$10+($B$20-Assumptions!$B$10)*6/9</f>
        <v>0.03238735319664892</v>
      </c>
      <c r="I19" s="9">
        <f>Assumptions!$B$10+($B$20-Assumptions!$B$10)*7/9</f>
        <v>0.03327078496447666</v>
      </c>
      <c r="J19" s="9">
        <f>Assumptions!$B$10+($B$20-Assumptions!$B$10)*8/9</f>
        <v>0.034154216732304406</v>
      </c>
      <c r="K19" s="9">
        <f>Assumptions!$B$10+($B$20-Assumptions!$B$10)*9/9</f>
        <v>0.03503764850013215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0.03503764850013215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2233121128.8188133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2554932818.9670167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0.07885595880277202</v>
      </c>
    </row>
    <row r="7" spans="1:2" x14ac:dyDescent="0.25">
      <c r="A7" t="s">
        <v>66</v>
      </c>
      <c r="B7" s="18">
        <f>-MAX(B5,0)*B6</f>
        <v>-201471677.11631325</v>
      </c>
    </row>
    <row r="8" spans="1:2" x14ac:dyDescent="0.25">
      <c r="A8" t="s">
        <v>67</v>
      </c>
      <c r="B8" s="18">
        <f>IF(OR(Assumptions!$B$33=0,Assumptions!B12&lt;=0),B5,MAX(B5+B7,0))</f>
        <v>2353461141.8507032</v>
      </c>
    </row>
    <row r="9" spans="1:2" x14ac:dyDescent="0.25">
      <c r="A9" t="s">
        <v>68</v>
      </c>
      <c r="B9" s="18">
        <f>B8*(1+Assumptions!B12)/(Assumptions!B26-Assumptions!B12)</f>
        <v>42206218819.44313</v>
      </c>
    </row>
    <row r="10" spans="1:2" x14ac:dyDescent="0.25">
      <c r="A10" t="s">
        <v>69</v>
      </c>
      <c r="B10" s="18">
        <f>B9/(1+Assumptions!B26)^(10-0.5*Assumptions!B32)</f>
        <v>19935464806.425774</v>
      </c>
    </row>
    <row r="11" spans="1:2" x14ac:dyDescent="0.25">
      <c r="A11" t="s">
        <v>70</v>
      </c>
      <c r="B11" s="18">
        <f>Forecast!B17+B10</f>
        <v>31391346021.50787</v>
      </c>
    </row>
    <row r="12" spans="1:2" x14ac:dyDescent="0.25">
      <c r="A12" t="s">
        <v>71</v>
      </c>
      <c r="B12" s="18">
        <f>-Assumptions!B30</f>
        <v>-165100000</v>
      </c>
    </row>
    <row r="13" spans="1:2" x14ac:dyDescent="0.25">
      <c r="A13" t="s">
        <v>72</v>
      </c>
      <c r="B13" s="18">
        <f>B11+B12</f>
        <v>31226246021.50787</v>
      </c>
    </row>
    <row r="14" spans="1:2" x14ac:dyDescent="0.25">
      <c r="A14" s="19" t="s">
        <v>73</v>
      </c>
      <c r="B14" s="24">
        <f>B13/Assumptions!B31</f>
        <v>27.146175798928862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3582670257.0803785</v>
      </c>
    </row>
    <row r="18" spans="1:2" x14ac:dyDescent="0.25">
      <c r="A18" t="s">
        <v>68</v>
      </c>
      <c r="B18" s="18">
        <f>B17*Assumptions!B13</f>
        <v>71653405141.60757</v>
      </c>
    </row>
    <row r="19" spans="1:2" x14ac:dyDescent="0.25">
      <c r="A19" t="s">
        <v>69</v>
      </c>
      <c r="B19" s="18">
        <f>B18/(1+Assumptions!B26)^(10-0.5*Assumptions!B32)</f>
        <v>33844394888.154358</v>
      </c>
    </row>
    <row r="20" spans="1:2" x14ac:dyDescent="0.25">
      <c r="A20" t="s">
        <v>70</v>
      </c>
      <c r="B20" s="18">
        <f>Forecast!B17+B19</f>
        <v>45300276103.23645</v>
      </c>
    </row>
    <row r="21" spans="1:2" x14ac:dyDescent="0.25">
      <c r="A21" t="s">
        <v>71</v>
      </c>
      <c r="B21" s="18">
        <f>-Assumptions!B30</f>
        <v>-165100000</v>
      </c>
    </row>
    <row r="22" spans="1:2" x14ac:dyDescent="0.25">
      <c r="A22" t="s">
        <v>72</v>
      </c>
      <c r="B22" s="18">
        <f>B20+B21</f>
        <v>45135176103.23645</v>
      </c>
    </row>
    <row r="23" spans="1:2" x14ac:dyDescent="0.25">
      <c r="A23" s="19" t="s">
        <v>73</v>
      </c>
      <c r="B23" s="25">
        <f>B22/Assumptions!B31</f>
        <v>39.23774328717417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51.91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27.146175798928862</v>
      </c>
    </row>
    <row r="29" spans="1:2" x14ac:dyDescent="0.25">
      <c r="A29" s="19" t="s">
        <v>81</v>
      </c>
      <c r="B29" s="11">
        <f>B28/B26-1</f>
        <v>-0.477053057235044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0.062155</v>
      </c>
      <c r="B5" s="31">
        <v>36.68939207970035</v>
      </c>
      <c r="C5" s="31">
        <v>39.29489338740137</v>
      </c>
      <c r="D5" s="31">
        <v>42.62445586685797</v>
      </c>
      <c r="E5" s="31">
        <v>47.01584713045809</v>
      </c>
      <c r="F5" s="31">
        <v>53.0556048973014</v>
      </c>
    </row>
    <row r="6" spans="1:6" x14ac:dyDescent="0.25">
      <c r="A6" s="30">
        <v>0.072155</v>
      </c>
      <c r="B6" s="31">
        <v>29.870252234676315</v>
      </c>
      <c r="C6" s="31">
        <v>31.381866619860553</v>
      </c>
      <c r="D6" s="31">
        <v>33.231014325760974</v>
      </c>
      <c r="E6" s="31">
        <v>35.53779972459311</v>
      </c>
      <c r="F6" s="31">
        <v>38.48697763788768</v>
      </c>
    </row>
    <row r="7" spans="1:6" x14ac:dyDescent="0.25">
      <c r="A7" s="30">
        <v>0.082155</v>
      </c>
      <c r="B7" s="31">
        <v>25.106089696829628</v>
      </c>
      <c r="C7" s="31">
        <v>26.037999176863742</v>
      </c>
      <c r="D7" s="32">
        <v>27.14619044416405</v>
      </c>
      <c r="E7" s="31">
        <v>28.481362891099316</v>
      </c>
      <c r="F7" s="31">
        <v>30.115719204437102</v>
      </c>
    </row>
    <row r="8" spans="1:6" x14ac:dyDescent="0.25">
      <c r="A8" s="30">
        <v>0.092155</v>
      </c>
      <c r="B8" s="31">
        <v>21.59618058097387</v>
      </c>
      <c r="C8" s="31">
        <v>22.193502748227235</v>
      </c>
      <c r="D8" s="31">
        <v>22.89042416406103</v>
      </c>
      <c r="E8" s="31">
        <v>23.71098132962087</v>
      </c>
      <c r="F8" s="31">
        <v>24.687621734118384</v>
      </c>
    </row>
    <row r="9" spans="1:6" x14ac:dyDescent="0.25">
      <c r="A9" s="30">
        <v>0.102155</v>
      </c>
      <c r="B9" s="31">
        <v>18.907434385260267</v>
      </c>
      <c r="C9" s="31">
        <v>19.29958442774607</v>
      </c>
      <c r="D9" s="31">
        <v>19.751338169671303</v>
      </c>
      <c r="E9" s="31">
        <v>20.27508637386032</v>
      </c>
      <c r="F9" s="31">
        <v>20.886910001283354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8200500000</v>
      </c>
      <c r="C5" s="18">
        <v>7546000000</v>
      </c>
      <c r="D5" s="18">
        <v>7346700000</v>
      </c>
      <c r="E5" s="18">
        <v>6980600000</v>
      </c>
      <c r="F5" s="6" t="s">
        <v>91</v>
      </c>
    </row>
    <row r="6" spans="1:6" x14ac:dyDescent="0.25">
      <c r="A6" t="s">
        <v>51</v>
      </c>
      <c r="B6" s="18">
        <v>1655700000</v>
      </c>
      <c r="C6" s="18">
        <v>1510000000</v>
      </c>
      <c r="D6" s="18">
        <v>1528700000</v>
      </c>
      <c r="E6" s="18">
        <v>1453600000</v>
      </c>
      <c r="F6" s="6" t="s">
        <v>92</v>
      </c>
    </row>
    <row r="7" spans="1:6" x14ac:dyDescent="0.25">
      <c r="A7" t="s">
        <v>93</v>
      </c>
      <c r="B7" s="18">
        <v>179200000</v>
      </c>
      <c r="C7" s="18">
        <v>175400000</v>
      </c>
      <c r="D7" s="18">
        <v>177300000</v>
      </c>
      <c r="E7" s="18">
        <v>176600000</v>
      </c>
      <c r="F7" s="6" t="s">
        <v>94</v>
      </c>
    </row>
    <row r="8" spans="1:6" x14ac:dyDescent="0.25">
      <c r="A8" t="s">
        <v>95</v>
      </c>
      <c r="B8" s="18">
        <v>245300000</v>
      </c>
      <c r="C8" s="18">
        <v>226500000</v>
      </c>
      <c r="D8" s="18">
        <v>172800000</v>
      </c>
      <c r="E8" s="18">
        <v>173800000</v>
      </c>
      <c r="F8" s="6" t="s">
        <v>96</v>
      </c>
    </row>
    <row r="9" spans="1:6" x14ac:dyDescent="0.25">
      <c r="A9" t="s">
        <v>97</v>
      </c>
      <c r="B9" s="18">
        <v>150000000</v>
      </c>
      <c r="C9" s="18">
        <v>154100000</v>
      </c>
      <c r="D9" s="18">
        <v>-105900000</v>
      </c>
      <c r="E9" s="18">
        <v>324100000</v>
      </c>
      <c r="F9" s="6" t="s">
        <v>98</v>
      </c>
    </row>
    <row r="10" spans="1:6" x14ac:dyDescent="0.25">
      <c r="A10" t="s">
        <v>99</v>
      </c>
      <c r="B10" s="18">
        <v>441900000</v>
      </c>
      <c r="C10" s="18">
        <v>485400000</v>
      </c>
      <c r="D10" s="18">
        <v>535000000</v>
      </c>
      <c r="E10" s="18">
        <v>802100000</v>
      </c>
      <c r="F10" s="6" t="s">
        <v>100</v>
      </c>
    </row>
    <row r="11" spans="1:6" x14ac:dyDescent="0.25">
      <c r="A11" t="s">
        <v>101</v>
      </c>
      <c r="B11" s="18">
        <v>276800000</v>
      </c>
      <c r="C11" s="18">
        <v>255800000</v>
      </c>
      <c r="D11" s="18">
        <v>221300000</v>
      </c>
      <c r="E11" s="18">
        <v>230100000</v>
      </c>
      <c r="F11" s="6" t="s">
        <v>102</v>
      </c>
    </row>
    <row r="12" spans="1:6" x14ac:dyDescent="0.25">
      <c r="A12" t="s">
        <v>34</v>
      </c>
      <c r="B12" s="34">
        <v>1150300000</v>
      </c>
      <c r="C12" s="34">
        <v>1148600000</v>
      </c>
      <c r="D12" s="34">
        <v>1146000000</v>
      </c>
      <c r="E12" s="34">
        <v>1151200000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