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<sst xmlns="http://schemas.openxmlformats.org/spreadsheetml/2006/main" count="113" uniqueCount="101">
  <si>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FinecoBank Banca Fineco S.p.A. (FBK.MI)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</si>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</sst>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0.12668182863845878</v>
      </c>
    </row>
    <row r="7" spans="1:2" x14ac:dyDescent="0.25">
      <c r="A7" t="s">
        <v>5</v>
      </c>
      <c r="B7" s="6">
        <v>0.5991568223632439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0.019715203759810306</v>
      </c>
    </row>
    <row r="10" spans="1:2" x14ac:dyDescent="0.25">
      <c r="A10" t="s">
        <v>8</v>
      </c>
      <c r="B10" s="6">
        <v>0.011712385942543181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13.095154090919944</v>
      </c>
    </row>
    <row r="14" spans="1:3" x14ac:dyDescent="0.25">
      <c r="A14" t="s">
        <v>12</v>
      </c>
      <c r="B14" s="6">
        <v>0.2131559846706227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0.80905</v>
      </c>
      <c r="C19" s="8" t="s">
        <v>19</v>
      </c>
    </row>
    <row r="20" spans="1:2" x14ac:dyDescent="0.25">
      <c r="A20" t="s">
        <v>20</v>
      </c>
      <c r="B20" s="10">
        <f>B17+B19*B18</f>
        <v>0.09458825000000001</v>
      </c>
    </row>
    <row r="21" spans="1:3" x14ac:dyDescent="0.25">
      <c r="A21" t="s">
        <v>21</v>
      </c>
      <c r="B21" s="6">
        <v>0.09799730308996056</v>
      </c>
      <c r="C21" s="8" t="s">
        <v>22</v>
      </c>
    </row>
    <row r="22" spans="1:2" x14ac:dyDescent="0.25">
      <c r="A22" t="s">
        <v>23</v>
      </c>
      <c r="B22" s="11">
        <v>13943360512</v>
      </c>
    </row>
    <row r="23" spans="1:2" x14ac:dyDescent="0.25">
      <c r="A23" t="s">
        <v>24</v>
      </c>
      <c r="B23" s="11">
        <v>872852000</v>
      </c>
    </row>
    <row r="24" spans="1:2" x14ac:dyDescent="0.25">
      <c r="A24" t="s">
        <v>25</v>
      </c>
      <c r="B24" s="10">
        <f>B22/(B22+B23)</f>
        <v>0.941088048022188</v>
      </c>
    </row>
    <row r="25" spans="1:2" x14ac:dyDescent="0.25">
      <c r="A25" t="s">
        <v>26</v>
      </c>
      <c r="B25" s="10">
        <f>1-B24</f>
        <v>0.05891195197781196</v>
      </c>
    </row>
    <row r="26" spans="1:2" x14ac:dyDescent="0.25">
      <c r="A26" t="s">
        <v>27</v>
      </c>
      <c r="B26" s="12">
        <f>B24*B20+B25*B21*(1-B8)</f>
        <v>0.09334578086852786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1552845000</v>
      </c>
      <c r="C29" s="8" t="s">
        <v>30</v>
      </c>
    </row>
    <row r="30" spans="1:2" x14ac:dyDescent="0.25">
      <c r="A30" t="s">
        <v>31</v>
      </c>
      <c r="B30" s="11">
        <v>-1329545000</v>
      </c>
    </row>
    <row r="31" spans="1:2" x14ac:dyDescent="0.25">
      <c r="A31" t="s">
        <v>32</v>
      </c>
      <c r="B31" s="13">
        <v>611493639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0.12668182863845878</v>
      </c>
      <c r="C5" s="10">
        <f>Assumptions!B6</f>
        <v>0.12668182863845878</v>
      </c>
      <c r="D5" s="10">
        <f>Assumptions!B6</f>
        <v>0.12668182863845878</v>
      </c>
      <c r="E5" s="10">
        <f>Assumptions!B6</f>
        <v>0.12668182863845878</v>
      </c>
      <c r="F5" s="10">
        <f>Assumptions!B6</f>
        <v>0.12668182863845878</v>
      </c>
    </row>
    <row r="6" spans="1:6" x14ac:dyDescent="0.25">
      <c r="A6" t="s">
        <v>43</v>
      </c>
      <c r="B6" s="18">
        <f>Assumptions!B29*(1+B5)</f>
        <v>1749562244.1920874</v>
      </c>
      <c r="C6" s="18">
        <f>B6*(1+C5)</f>
        <v>1971199988.6031468</v>
      </c>
      <c r="D6" s="18">
        <f>C6*(1+D5)</f>
        <v>2220915207.7715025</v>
      </c>
      <c r="E6" s="18">
        <f>D6*(1+E5)</f>
        <v>2502264807.542959</v>
      </c>
      <c r="F6" s="18">
        <f>E6*(1+F5)</f>
        <v>2819256289.1001625</v>
      </c>
    </row>
    <row r="7" spans="1:6" x14ac:dyDescent="0.25">
      <c r="A7" t="s">
        <v>5</v>
      </c>
      <c r="B7" s="10">
        <f>Assumptions!B7</f>
        <v>0.5991568223632439</v>
      </c>
      <c r="C7" s="10">
        <f>Assumptions!B7</f>
        <v>0.5991568223632439</v>
      </c>
      <c r="D7" s="10">
        <f>Assumptions!B7</f>
        <v>0.5991568223632439</v>
      </c>
      <c r="E7" s="10">
        <f>Assumptions!B7</f>
        <v>0.5991568223632439</v>
      </c>
      <c r="F7" s="10">
        <f>Assumptions!B7</f>
        <v>0.5991568223632439</v>
      </c>
    </row>
    <row r="8" spans="1:6" x14ac:dyDescent="0.25">
      <c r="A8" t="s">
        <v>44</v>
      </c>
      <c r="B8" s="18">
        <f>B6*B7</f>
        <v>1048262154.7568368</v>
      </c>
      <c r="C8" s="18">
        <f>C6*C7</f>
        <v>1181057921.413924</v>
      </c>
      <c r="D8" s="18">
        <f>D6*D7</f>
        <v>1330676498.626577</v>
      </c>
      <c r="E8" s="18">
        <f>E6*E7</f>
        <v>1499249030.7988133</v>
      </c>
      <c r="F8" s="18">
        <f>F6*F7</f>
        <v>1689176639.604844</v>
      </c>
    </row>
    <row r="9" spans="1:6" x14ac:dyDescent="0.25">
      <c r="A9" t="s">
        <v>45</v>
      </c>
      <c r="B9" s="18">
        <f>B8*(1-Assumptions!B8)</f>
        <v>786196616.0676275</v>
      </c>
      <c r="C9" s="18">
        <f>C8*(1-Assumptions!B8)</f>
        <v>885793441.0604429</v>
      </c>
      <c r="D9" s="18">
        <f>D8*(1-Assumptions!B8)</f>
        <v>998007373.9699327</v>
      </c>
      <c r="E9" s="18">
        <f>E8*(1-Assumptions!B8)</f>
        <v>1124436773.0991101</v>
      </c>
      <c r="F9" s="18">
        <f>F8*(1-Assumptions!B8)</f>
        <v>1266882479.703633</v>
      </c>
    </row>
    <row r="10" spans="1:6" x14ac:dyDescent="0.25">
      <c r="A10" t="s">
        <v>46</v>
      </c>
      <c r="B10" s="18">
        <f>B6*Assumptions!B9</f>
        <v>34492976.134718</v>
      </c>
      <c r="C10" s="18">
        <f>C6*Assumptions!B9</f>
        <v>38862609.42664679</v>
      </c>
      <c r="D10" s="18">
        <f>D6*Assumptions!B9</f>
        <v>43785795.85447661</v>
      </c>
      <c r="E10" s="18">
        <f>E6*Assumptions!B9</f>
        <v>49332660.54171196</v>
      </c>
      <c r="F10" s="18">
        <f>F6*Assumptions!B9</f>
        <v>55582212.190736376</v>
      </c>
    </row>
    <row r="11" spans="1:6" x14ac:dyDescent="0.25">
      <c r="A11" t="s">
        <v>47</v>
      </c>
      <c r="B11" s="18">
        <f>-B6*Assumptions!B10</f>
        <v>-20491548.234479707</v>
      </c>
      <c r="C11" s="18">
        <f>-C6*Assumptions!B10</f>
        <v>-23087455.036456775</v>
      </c>
      <c r="D11" s="18">
        <f>-D6*Assumptions!B10</f>
        <v>-26012216.059083313</v>
      </c>
      <c r="E11" s="18">
        <f>-E6*Assumptions!B10</f>
        <v>-29307491.156386673</v>
      </c>
      <c r="F11" s="18">
        <f>-F6*Assumptions!B10</f>
        <v>-33020217.7288832</v>
      </c>
    </row>
    <row r="12" spans="1:6" x14ac:dyDescent="0.25">
      <c r="A12" t="s">
        <v>48</v>
      </c>
      <c r="B12" s="18">
        <f>-(B6-Assumptions!B29)*Assumptions!B11</f>
        <v>-196717244.1920874</v>
      </c>
      <c r="C12" s="18">
        <f>-(C6-B6)*Assumptions!B11</f>
        <v>-221637744.41105938</v>
      </c>
      <c r="D12" s="18">
        <f>-(D6-C6)*Assumptions!B11</f>
        <v>-249715219.1683557</v>
      </c>
      <c r="E12" s="18">
        <f>-(E6-D6)*Assumptions!B11</f>
        <v>-281349599.7714567</v>
      </c>
      <c r="F12" s="18">
        <f>-(F6-E6)*Assumptions!B11</f>
        <v>-316991481.5572033</v>
      </c>
    </row>
    <row r="13" spans="1:6" x14ac:dyDescent="0.25">
      <c r="A13" s="19" t="s">
        <v>49</v>
      </c>
      <c r="B13" s="20">
        <f>B9+B10+B11+B12</f>
        <v>603480799.7757785</v>
      </c>
      <c r="C13" s="20">
        <f>C9+C10+C11+C12</f>
        <v>679930851.0395736</v>
      </c>
      <c r="D13" s="20">
        <f>D9+D10+D11+D12</f>
        <v>766065734.5969702</v>
      </c>
      <c r="E13" s="20">
        <f>E9+E10+E11+E12</f>
        <v>863112342.7129788</v>
      </c>
      <c r="F13" s="20">
        <f>F9+F10+F11+F12</f>
        <v>972452992.6082828</v>
      </c>
    </row>
    <row r="14" spans="1:6" x14ac:dyDescent="0.25">
      <c r="A14" t="s">
        <v>50</v>
      </c>
      <c r="B14" s="21">
        <f>1/(1+Assumptions!$B$26)^(1-0.5*Assumptions!$B$32)</f>
        <v>0.9563596255616772</v>
      </c>
      <c r="C14" s="21">
        <f>1/(1+Assumptions!$B$26)^(2-0.5*Assumptions!$B$32)</f>
        <v>0.8747092112085235</v>
      </c>
      <c r="D14" s="21">
        <f>1/(1+Assumptions!$B$26)^(3-0.5*Assumptions!$B$32)</f>
        <v>0.80002980439882</v>
      </c>
      <c r="E14" s="21">
        <f>1/(1+Assumptions!$B$26)^(4-0.5*Assumptions!$B$32)</f>
        <v>0.7317262465340978</v>
      </c>
      <c r="F14" s="21">
        <f>1/(1+Assumptions!$B$26)^(5-0.5*Assumptions!$B$32)</f>
        <v>0.6692541914350572</v>
      </c>
    </row>
    <row r="15" spans="1:6" x14ac:dyDescent="0.25">
      <c r="A15" s="19" t="s">
        <v>51</v>
      </c>
      <c r="B15" s="20">
        <f>B13*B14</f>
        <v>577144671.7072251</v>
      </c>
      <c r="C15" s="20">
        <f>C13*C14</f>
        <v>594741778.3891655</v>
      </c>
      <c r="D15" s="20">
        <f>D13*D14</f>
        <v>612875419.8062524</v>
      </c>
      <c r="E15" s="20">
        <f>E13*E14</f>
        <v>631561954.8706199</v>
      </c>
      <c r="F15" s="20">
        <f>F13*F14</f>
        <v>650818241.2766579</v>
      </c>
    </row>
    <row r="17" spans="1:2" x14ac:dyDescent="0.25">
      <c r="A17" s="22" t="s">
        <v>52</v>
      </c>
      <c r="B17" s="23">
        <f>SUM(B15:F15)</f>
        <v>3067142066.049921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972452992.6082828</v>
      </c>
    </row>
    <row r="5" spans="1:2" x14ac:dyDescent="0.25">
      <c r="A5" t="s">
        <v>56</v>
      </c>
      <c r="B5" s="18">
        <f>IF(Assumptions!$B$33=0,B4,B4-Forecast!F11-Forecast!F10-Forecast!F12)</f>
        <v>1266882479.703633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0.11728500158525232</v>
      </c>
    </row>
    <row r="7" spans="1:2" x14ac:dyDescent="0.25">
      <c r="A7" t="s">
        <v>58</v>
      </c>
      <c r="B7" s="18">
        <f>-MAX(Forecast!F9,0)*B6</f>
        <v>-148586313.640369</v>
      </c>
    </row>
    <row r="8" spans="1:2" x14ac:dyDescent="0.25">
      <c r="A8" t="s">
        <v>59</v>
      </c>
      <c r="B8" s="18">
        <f>IF(OR(Assumptions!$B$33=0,Assumptions!B12&lt;=0),B5,MAX(B5+B7,0))</f>
        <v>1118296166.0632641</v>
      </c>
    </row>
    <row r="9" spans="1:2" x14ac:dyDescent="0.25">
      <c r="A9" t="s">
        <v>60</v>
      </c>
      <c r="B9" s="18">
        <f>B8*(1+Assumptions!B12)/(Assumptions!B26-Assumptions!B12)</f>
        <v>16771387430.920073</v>
      </c>
    </row>
    <row r="10" spans="1:2" x14ac:dyDescent="0.25">
      <c r="A10" t="s">
        <v>61</v>
      </c>
      <c r="B10" s="18">
        <f>B9/(1+Assumptions!B26)^(5-0.5*Assumptions!B32)</f>
        <v>11224321334.324493</v>
      </c>
    </row>
    <row r="11" spans="1:2" x14ac:dyDescent="0.25">
      <c r="A11" t="s">
        <v>62</v>
      </c>
      <c r="B11" s="18">
        <f>Forecast!B17+B10</f>
        <v>14291463400.374414</v>
      </c>
    </row>
    <row r="12" spans="1:2" x14ac:dyDescent="0.25">
      <c r="A12" t="s">
        <v>63</v>
      </c>
      <c r="B12" s="18">
        <f>-Assumptions!B30</f>
        <v>1329545000</v>
      </c>
    </row>
    <row r="13" spans="1:2" x14ac:dyDescent="0.25">
      <c r="A13" t="s">
        <v>64</v>
      </c>
      <c r="B13" s="18">
        <f>B11+B12</f>
        <v>15621008400.374414</v>
      </c>
    </row>
    <row r="14" spans="1:2" x14ac:dyDescent="0.25">
      <c r="A14" s="19" t="s">
        <v>65</v>
      </c>
      <c r="B14" s="24">
        <f>B13/Assumptions!B31</f>
        <v>25.545659683263548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1744758851.7955804</v>
      </c>
    </row>
    <row r="18" spans="1:2" x14ac:dyDescent="0.25">
      <c r="A18" t="s">
        <v>60</v>
      </c>
      <c r="B18" s="18">
        <f>B17*Assumptions!B13</f>
        <v>22847886015.759678</v>
      </c>
    </row>
    <row r="19" spans="1:2" x14ac:dyDescent="0.25">
      <c r="A19" t="s">
        <v>61</v>
      </c>
      <c r="B19" s="18">
        <f>B18/(1+Assumptions!B26)^(5-0.5*Assumptions!B32)</f>
        <v>15291043481.477592</v>
      </c>
    </row>
    <row r="20" spans="1:2" x14ac:dyDescent="0.25">
      <c r="A20" t="s">
        <v>62</v>
      </c>
      <c r="B20" s="18">
        <f>Forecast!B17+B19</f>
        <v>18358185547.52751</v>
      </c>
    </row>
    <row r="21" spans="1:2" x14ac:dyDescent="0.25">
      <c r="A21" t="s">
        <v>63</v>
      </c>
      <c r="B21" s="18">
        <f>-Assumptions!B30</f>
        <v>1329545000</v>
      </c>
    </row>
    <row r="22" spans="1:2" x14ac:dyDescent="0.25">
      <c r="A22" t="s">
        <v>64</v>
      </c>
      <c r="B22" s="18">
        <f>B20+B21</f>
        <v>19687730547.52751</v>
      </c>
    </row>
    <row r="23" spans="1:2" x14ac:dyDescent="0.25">
      <c r="A23" s="19" t="s">
        <v>65</v>
      </c>
      <c r="B23" s="25">
        <f>B22/Assumptions!B31</f>
        <v>32.19613302883027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25.545659683263548</v>
      </c>
    </row>
    <row r="29" spans="1:2" x14ac:dyDescent="0.25">
      <c r="A29" s="19" t="s">
        <v>73</v>
      </c>
      <c r="B29" s="12">
        <f>B28/B26-1</f>
        <v>0.12091529983604854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0.073346</v>
      </c>
      <c r="B5" s="31">
        <v>31.80039132799664</v>
      </c>
      <c r="C5" s="31">
        <v>33.53966799186616</v>
      </c>
      <c r="D5" s="31">
        <v>35.631390549152265</v>
      </c>
      <c r="E5" s="31">
        <v>38.197523850158326</v>
      </c>
      <c r="F5" s="31">
        <v>41.423645560241845</v>
      </c>
    </row>
    <row r="6" spans="1:6" x14ac:dyDescent="0.25">
      <c r="A6" s="30">
        <v>0.083346</v>
      </c>
      <c r="B6" s="31">
        <v>27.260431988358807</v>
      </c>
      <c r="C6" s="31">
        <v>28.395380446119837</v>
      </c>
      <c r="D6" s="31">
        <v>29.719039561453837</v>
      </c>
      <c r="E6" s="31">
        <v>31.28447160451409</v>
      </c>
      <c r="F6" s="31">
        <v>33.1666898942079</v>
      </c>
    </row>
    <row r="7" spans="1:6" x14ac:dyDescent="0.25">
      <c r="A7" s="30">
        <v>0.093346</v>
      </c>
      <c r="B7" s="31">
        <v>23.889210430247658</v>
      </c>
      <c r="C7" s="31">
        <v>24.663155796832505</v>
      </c>
      <c r="D7" s="32">
        <v>25.54558170299459</v>
      </c>
      <c r="E7" s="31">
        <v>26.5621757705831</v>
      </c>
      <c r="F7" s="31">
        <v>27.747430894079173</v>
      </c>
    </row>
    <row r="8" spans="1:6" x14ac:dyDescent="0.25">
      <c r="A8" s="30">
        <v>0.103346</v>
      </c>
      <c r="B8" s="31">
        <v>21.289385390943725</v>
      </c>
      <c r="C8" s="31">
        <v>21.834287995239634</v>
      </c>
      <c r="D8" s="31">
        <v>22.44475667256754</v>
      </c>
      <c r="E8" s="31">
        <v>23.134200349051312</v>
      </c>
      <c r="F8" s="31">
        <v>23.919951787213083</v>
      </c>
    </row>
    <row r="9" spans="1:6" x14ac:dyDescent="0.25">
      <c r="A9" s="30">
        <v>0.113346</v>
      </c>
      <c r="B9" s="31">
        <v>19.225251523184586</v>
      </c>
      <c r="C9" s="31">
        <v>19.61808286304523</v>
      </c>
      <c r="D9" s="31">
        <v>20.051986217803414</v>
      </c>
      <c r="E9" s="31">
        <v>20.534353426581163</v>
      </c>
      <c r="F9" s="31">
        <v>21.074463301446634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1552845000</v>
      </c>
      <c r="C5" s="18">
        <v>1523567000</v>
      </c>
      <c r="D5" s="18">
        <v>1404472000</v>
      </c>
      <c r="E5" s="18">
        <v>1085736000</v>
      </c>
      <c r="F5" s="8" t="s">
        <v>84</v>
      </c>
    </row>
    <row r="6" spans="1:6" x14ac:dyDescent="0.25">
      <c r="A6" t="s">
        <v>44</v>
      </c>
      <c r="B6" s="18">
        <v>935500000</v>
      </c>
      <c r="C6" s="18">
        <v>939284000</v>
      </c>
      <c r="D6" s="18">
        <v>872238000</v>
      </c>
      <c r="E6" s="18">
        <v>604362000</v>
      </c>
      <c r="F6" s="8" t="s">
        <v>85</v>
      </c>
    </row>
    <row r="7" spans="1:6" x14ac:dyDescent="0.25">
      <c r="A7" t="s">
        <v>86</v>
      </c>
      <c r="B7" s="18">
        <v>27743000</v>
      </c>
      <c r="C7" s="18">
        <v>25791000</v>
      </c>
      <c r="D7" s="18">
        <v>27139000</v>
      </c>
      <c r="E7" s="18">
        <v>26865000</v>
      </c>
      <c r="F7" s="8" t="s">
        <v>87</v>
      </c>
    </row>
    <row r="8" spans="1:6" x14ac:dyDescent="0.25">
      <c r="A8" t="s">
        <v>88</v>
      </c>
      <c r="B8" s="18">
        <v>17407000</v>
      </c>
      <c r="C8" s="18">
        <v>18637000</v>
      </c>
      <c r="D8" s="18">
        <v>15567000</v>
      </c>
      <c r="E8" s="18">
        <v>13380000</v>
      </c>
      <c r="F8" s="8" t="s">
        <v>89</v>
      </c>
    </row>
    <row r="9" spans="1:6" x14ac:dyDescent="0.25">
      <c r="A9" t="s">
        <v>90</v>
      </c>
      <c r="B9" s="18">
        <v>309645000</v>
      </c>
      <c r="C9" s="18">
        <v>573021000</v>
      </c>
      <c r="D9" s="18">
        <v>-308133000</v>
      </c>
      <c r="E9" s="18">
        <v>327484000</v>
      </c>
      <c r="F9" s="8" t="s">
        <v>91</v>
      </c>
    </row>
    <row r="10" spans="1:6" x14ac:dyDescent="0.25">
      <c r="A10" t="s">
        <v>92</v>
      </c>
      <c r="B10" s="18">
        <v>872852000</v>
      </c>
      <c r="C10" s="18">
        <v>868400000</v>
      </c>
      <c r="D10" s="18">
        <v>870646000</v>
      </c>
      <c r="E10" s="18">
        <v>561277000</v>
      </c>
      <c r="F10" s="8" t="s">
        <v>93</v>
      </c>
    </row>
    <row r="11" spans="1:6" x14ac:dyDescent="0.25">
      <c r="A11" t="s">
        <v>94</v>
      </c>
      <c r="B11" s="18">
        <v>2202397000</v>
      </c>
      <c r="C11" s="18">
        <v>2263300000</v>
      </c>
      <c r="D11" s="18">
        <v>2551043000</v>
      </c>
      <c r="E11" s="18">
        <v>1792977000</v>
      </c>
      <c r="F11" s="8" t="s">
        <v>95</v>
      </c>
    </row>
    <row r="12" spans="1:6" x14ac:dyDescent="0.25">
      <c r="A12" t="s">
        <v>32</v>
      </c>
      <c r="B12" s="34">
        <v>611493639</v>
      </c>
      <c r="C12" s="34">
        <v>610918227</v>
      </c>
      <c r="D12" s="34">
        <v>611794654</v>
      </c>
      <c r="E12" s="34">
        <v>611424585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