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<sst xmlns="http://schemas.openxmlformats.org/spreadsheetml/2006/main" count="113" uniqueCount="101">
  <si>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Fletcher Building Limited (FBU.NZ)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</si>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</sst>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-0.1088279950093709</v>
      </c>
    </row>
    <row r="7" spans="1:2" x14ac:dyDescent="0.25">
      <c r="A7" t="s">
        <v>5</v>
      </c>
      <c r="B7" s="6">
        <v>0.0107947871862951</v>
      </c>
    </row>
    <row r="8" spans="1:2" x14ac:dyDescent="0.25">
      <c r="A8" t="s">
        <v>6</v>
      </c>
      <c r="B8" s="6">
        <v>0.21239889965202668</v>
      </c>
    </row>
    <row r="9" spans="1:2" x14ac:dyDescent="0.25">
      <c r="A9" t="s">
        <v>7</v>
      </c>
      <c r="B9" s="6">
        <v>0.04758174152617897</v>
      </c>
    </row>
    <row r="10" spans="1:2" x14ac:dyDescent="0.25">
      <c r="A10" t="s">
        <v>8</v>
      </c>
      <c r="B10" s="6">
        <v>0.04823756217794225</v>
      </c>
    </row>
    <row r="11" spans="1:2" x14ac:dyDescent="0.25">
      <c r="A11" t="s">
        <v>9</v>
      </c>
      <c r="B11" s="6">
        <v>0.251088534107402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15.320386351706036</v>
      </c>
    </row>
    <row r="14" spans="1:3" x14ac:dyDescent="0.25">
      <c r="A14" t="s">
        <v>12</v>
      </c>
      <c r="B14" s="6">
        <v>0.07494777480312048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0.77153</v>
      </c>
      <c r="C19" s="8" t="s">
        <v>19</v>
      </c>
    </row>
    <row r="20" spans="1:2" x14ac:dyDescent="0.25">
      <c r="A20" t="s">
        <v>20</v>
      </c>
      <c r="B20" s="10">
        <f>B17+B19*B18</f>
        <v>0.09514945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3958067200</v>
      </c>
    </row>
    <row r="23" spans="1:2" x14ac:dyDescent="0.25">
      <c r="A23" t="s">
        <v>24</v>
      </c>
      <c r="B23" s="11">
        <v>2024000000</v>
      </c>
    </row>
    <row r="24" spans="1:2" x14ac:dyDescent="0.25">
      <c r="A24" t="s">
        <v>25</v>
      </c>
      <c r="B24" s="10">
        <f>B22/(B22+B23)</f>
        <v>0.6616554223931153</v>
      </c>
    </row>
    <row r="25" spans="1:2" x14ac:dyDescent="0.25">
      <c r="A25" t="s">
        <v>26</v>
      </c>
      <c r="B25" s="10">
        <f>1-B24</f>
        <v>0.33834457760688474</v>
      </c>
    </row>
    <row r="26" spans="1:2" x14ac:dyDescent="0.25">
      <c r="A26" t="s">
        <v>27</v>
      </c>
      <c r="B26" s="12">
        <f>B24*B20+B25*B21*(1-B8)</f>
        <v>0.07494777480312048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5994000000</v>
      </c>
      <c r="C29" s="8" t="s">
        <v>30</v>
      </c>
    </row>
    <row r="30" spans="1:2" x14ac:dyDescent="0.25">
      <c r="A30" t="s">
        <v>31</v>
      </c>
      <c r="B30" s="11">
        <v>1879000000</v>
      </c>
    </row>
    <row r="31" spans="1:2" x14ac:dyDescent="0.25">
      <c r="A31" t="s">
        <v>32</v>
      </c>
      <c r="B31" s="13">
        <v>1075000000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-0.1088279950093709</v>
      </c>
      <c r="C5" s="10">
        <f>Assumptions!B6</f>
        <v>-0.1088279950093709</v>
      </c>
      <c r="D5" s="10">
        <f>Assumptions!B6</f>
        <v>-0.1088279950093709</v>
      </c>
      <c r="E5" s="10">
        <f>Assumptions!B6</f>
        <v>-0.1088279950093709</v>
      </c>
      <c r="F5" s="10">
        <f>Assumptions!B6</f>
        <v>-0.1088279950093709</v>
      </c>
    </row>
    <row r="6" spans="1:6" x14ac:dyDescent="0.25">
      <c r="A6" t="s">
        <v>43</v>
      </c>
      <c r="B6" s="18">
        <f>Assumptions!B29*(1+B5)</f>
        <v>5341684997.913831</v>
      </c>
      <c r="C6" s="18">
        <f>B6*(1+C5)</f>
        <v>4760360129.619233</v>
      </c>
      <c r="D6" s="18">
        <f>C6*(1+D5)</f>
        <v>4242299681.190223</v>
      </c>
      <c r="E6" s="18">
        <f>D6*(1+E5)</f>
        <v>3780618712.6573977</v>
      </c>
      <c r="F6" s="18">
        <f>E6*(1+F5)</f>
        <v>3369181558.263984</v>
      </c>
    </row>
    <row r="7" spans="1:6" x14ac:dyDescent="0.25">
      <c r="A7" t="s">
        <v>5</v>
      </c>
      <c r="B7" s="10">
        <f>Assumptions!B7</f>
        <v>0.0107947871862951</v>
      </c>
      <c r="C7" s="10">
        <f>Assumptions!B7</f>
        <v>0.0107947871862951</v>
      </c>
      <c r="D7" s="10">
        <f>Assumptions!B7</f>
        <v>0.0107947871862951</v>
      </c>
      <c r="E7" s="10">
        <f>Assumptions!B7</f>
        <v>0.0107947871862951</v>
      </c>
      <c r="F7" s="10">
        <f>Assumptions!B7</f>
        <v>0.0107947871862951</v>
      </c>
    </row>
    <row r="8" spans="1:6" x14ac:dyDescent="0.25">
      <c r="A8" t="s">
        <v>44</v>
      </c>
      <c r="B8" s="18">
        <f>B6*B7</f>
        <v>57662352.76870499</v>
      </c>
      <c r="C8" s="18">
        <f>C6*C7</f>
        <v>51387074.529363774</v>
      </c>
      <c r="D8" s="18">
        <f>D6*D7</f>
        <v>45794722.23893601</v>
      </c>
      <c r="E8" s="18">
        <f>E6*E7</f>
        <v>40810974.435661554</v>
      </c>
      <c r="F8" s="18">
        <f>F6*F7</f>
        <v>36369597.91344981</v>
      </c>
    </row>
    <row r="9" spans="1:6" x14ac:dyDescent="0.25">
      <c r="A9" t="s">
        <v>45</v>
      </c>
      <c r="B9" s="18">
        <f>B8*(1-Assumptions!B8)</f>
        <v>45414932.48928505</v>
      </c>
      <c r="C9" s="18">
        <f>C8*(1-Assumptions!B8)</f>
        <v>40472516.44299022</v>
      </c>
      <c r="D9" s="18">
        <f>D8*(1-Assumptions!B8)</f>
        <v>36067973.6255158</v>
      </c>
      <c r="E9" s="18">
        <f>E8*(1-Assumptions!B8)</f>
        <v>32142768.371800046</v>
      </c>
      <c r="F9" s="18">
        <f>F8*(1-Assumptions!B8)</f>
        <v>28644735.33584642</v>
      </c>
    </row>
    <row r="10" spans="1:6" x14ac:dyDescent="0.25">
      <c r="A10" t="s">
        <v>46</v>
      </c>
      <c r="B10" s="18">
        <f>B6*Assumptions!B9</f>
        <v>254166674.88500375</v>
      </c>
      <c r="C10" s="18">
        <f>C6*Assumptions!B9</f>
        <v>226506225.2590702</v>
      </c>
      <c r="D10" s="18">
        <f>D6*Assumptions!B9</f>
        <v>201856006.90698466</v>
      </c>
      <c r="E10" s="18">
        <f>E6*Assumptions!B9</f>
        <v>179888422.39469978</v>
      </c>
      <c r="F10" s="18">
        <f>F6*Assumptions!B9</f>
        <v>160311526.0600858</v>
      </c>
    </row>
    <row r="11" spans="1:6" x14ac:dyDescent="0.25">
      <c r="A11" t="s">
        <v>47</v>
      </c>
      <c r="B11" s="18">
        <f>-B6*Assumptions!B10</f>
        <v>-257669862.2218497</v>
      </c>
      <c r="C11" s="18">
        <f>-C6*Assumptions!B10</f>
        <v>-229628167.74190497</v>
      </c>
      <c r="D11" s="18">
        <f>-D6*Assumptions!B10</f>
        <v>-204638194.64887798</v>
      </c>
      <c r="E11" s="18">
        <f>-E6*Assumptions!B10</f>
        <v>-182367830.2229032</v>
      </c>
      <c r="F11" s="18">
        <f>-F6*Assumptions!B10</f>
        <v>-162521104.90553528</v>
      </c>
    </row>
    <row r="12" spans="1:6" x14ac:dyDescent="0.25">
      <c r="A12" t="s">
        <v>48</v>
      </c>
      <c r="B12" s="18">
        <f>-(B6-Assumptions!B29)*Assumptions!B11</f>
        <v>163788817.65008312</v>
      </c>
      <c r="C12" s="18">
        <f>-(C6-B6)*Assumptions!B11</f>
        <v>145964009.02026907</v>
      </c>
      <c r="D12" s="18">
        <f>-(D6-C6)*Assumptions!B11</f>
        <v>130079038.57506344</v>
      </c>
      <c r="E12" s="18">
        <f>-(E6-D6)*Assumptions!B11</f>
        <v>115922797.61419274</v>
      </c>
      <c r="F12" s="18">
        <f>-(F6-E6)*Assumptions!B11</f>
        <v>103307151.97396304</v>
      </c>
    </row>
    <row r="13" spans="1:6" x14ac:dyDescent="0.25">
      <c r="A13" s="19" t="s">
        <v>49</v>
      </c>
      <c r="B13" s="20">
        <f>B9+B10+B11+B12</f>
        <v>205700562.8025222</v>
      </c>
      <c r="C13" s="20">
        <f>C9+C10+C11+C12</f>
        <v>183314582.9804245</v>
      </c>
      <c r="D13" s="20">
        <f>D9+D10+D11+D12</f>
        <v>163364824.4586859</v>
      </c>
      <c r="E13" s="20">
        <f>E9+E10+E11+E12</f>
        <v>145586158.15778935</v>
      </c>
      <c r="F13" s="20">
        <f>F9+F10+F11+F12</f>
        <v>129742308.46435998</v>
      </c>
    </row>
    <row r="14" spans="1:6" x14ac:dyDescent="0.25">
      <c r="A14" t="s">
        <v>50</v>
      </c>
      <c r="B14" s="21">
        <f>1/(1+Assumptions!$B$26)^(1-0.5*Assumptions!$B$32)</f>
        <v>0.9645090733120079</v>
      </c>
      <c r="C14" s="21">
        <f>1/(1+Assumptions!$B$26)^(2-0.5*Assumptions!$B$32)</f>
        <v>0.8972613329876982</v>
      </c>
      <c r="D14" s="21">
        <f>1/(1+Assumptions!$B$26)^(3-0.5*Assumptions!$B$32)</f>
        <v>0.8347022562580159</v>
      </c>
      <c r="E14" s="21">
        <f>1/(1+Assumptions!$B$26)^(4-0.5*Assumptions!$B$32)</f>
        <v>0.7765049389593777</v>
      </c>
      <c r="F14" s="21">
        <f>1/(1+Assumptions!$B$26)^(5-0.5*Assumptions!$B$32)</f>
        <v>0.7223652694212019</v>
      </c>
    </row>
    <row r="15" spans="1:6" x14ac:dyDescent="0.25">
      <c r="A15" s="19" t="s">
        <v>51</v>
      </c>
      <c r="B15" s="20">
        <f>B13*B14</f>
        <v>198400059.20841917</v>
      </c>
      <c r="C15" s="20">
        <f>C13*C14</f>
        <v>164481087.0810997</v>
      </c>
      <c r="D15" s="20">
        <f>D13*D14</f>
        <v>136360987.56885982</v>
      </c>
      <c r="E15" s="20">
        <f>E13*E14</f>
        <v>113048370.85364452</v>
      </c>
      <c r="F15" s="20">
        <f>F13*F14</f>
        <v>93721337.60918608</v>
      </c>
    </row>
    <row r="17" spans="1:2" x14ac:dyDescent="0.25">
      <c r="A17" s="22" t="s">
        <v>52</v>
      </c>
      <c r="B17" s="23">
        <f>SUM(B15:F15)</f>
        <v>706011842.3212092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129742308.46435998</v>
      </c>
    </row>
    <row r="5" spans="1:2" x14ac:dyDescent="0.25">
      <c r="A5" t="s">
        <v>56</v>
      </c>
      <c r="B5" s="18">
        <f>IF(Assumptions!$B$33=0,B4,B4-Forecast!F11-Forecast!F10-Forecast!F12)</f>
        <v>28644735.33584642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0.33356560706001265</v>
      </c>
    </row>
    <row r="7" spans="1:2" x14ac:dyDescent="0.25">
      <c r="A7" t="s">
        <v>58</v>
      </c>
      <c r="B7" s="18">
        <f>-MAX(Forecast!F9,0)*B6</f>
        <v>-9554898.531375006</v>
      </c>
    </row>
    <row r="8" spans="1:2" x14ac:dyDescent="0.25">
      <c r="A8" t="s">
        <v>59</v>
      </c>
      <c r="B8" s="18">
        <f>IF(OR(Assumptions!$B$33=0,Assumptions!B12&lt;=0),B5,MAX(B5+B7,0))</f>
        <v>19089836.804471415</v>
      </c>
    </row>
    <row r="9" spans="1:2" x14ac:dyDescent="0.25">
      <c r="A9" t="s">
        <v>60</v>
      </c>
      <c r="B9" s="18">
        <f>B8*(1+Assumptions!B12)/(Assumptions!B26-Assumptions!B12)</f>
        <v>391750839.78637516</v>
      </c>
    </row>
    <row r="10" spans="1:2" x14ac:dyDescent="0.25">
      <c r="A10" t="s">
        <v>61</v>
      </c>
      <c r="B10" s="18">
        <f>B9/(1+Assumptions!B26)^(5-0.5*Assumptions!B32)</f>
        <v>282987200.928267</v>
      </c>
    </row>
    <row r="11" spans="1:2" x14ac:dyDescent="0.25">
      <c r="A11" t="s">
        <v>62</v>
      </c>
      <c r="B11" s="18">
        <f>Forecast!B17+B10</f>
        <v>988999043.2494762</v>
      </c>
    </row>
    <row r="12" spans="1:2" x14ac:dyDescent="0.25">
      <c r="A12" t="s">
        <v>63</v>
      </c>
      <c r="B12" s="18">
        <f>-Assumptions!B30</f>
        <v>-1879000000</v>
      </c>
    </row>
    <row r="13" spans="1:2" x14ac:dyDescent="0.25">
      <c r="A13" t="s">
        <v>64</v>
      </c>
      <c r="B13" s="18">
        <f>B11+B12</f>
        <v>-890000956.7505238</v>
      </c>
    </row>
    <row r="14" spans="1:2" x14ac:dyDescent="0.25">
      <c r="A14" s="19" t="s">
        <v>65</v>
      </c>
      <c r="B14" s="24">
        <f>B13/Assumptions!B31</f>
        <v>-0.8279078667446733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196681123.9735356</v>
      </c>
    </row>
    <row r="18" spans="1:2" x14ac:dyDescent="0.25">
      <c r="A18" t="s">
        <v>60</v>
      </c>
      <c r="B18" s="18">
        <f>B17*Assumptions!B13</f>
        <v>3013230807.3623576</v>
      </c>
    </row>
    <row r="19" spans="1:2" x14ac:dyDescent="0.25">
      <c r="A19" t="s">
        <v>61</v>
      </c>
      <c r="B19" s="18">
        <f>B18/(1+Assumptions!B26)^(5-0.5*Assumptions!B32)</f>
        <v>2176653283.9885755</v>
      </c>
    </row>
    <row r="20" spans="1:2" x14ac:dyDescent="0.25">
      <c r="A20" t="s">
        <v>62</v>
      </c>
      <c r="B20" s="18">
        <f>Forecast!B17+B19</f>
        <v>2882665126.309785</v>
      </c>
    </row>
    <row r="21" spans="1:2" x14ac:dyDescent="0.25">
      <c r="A21" t="s">
        <v>63</v>
      </c>
      <c r="B21" s="18">
        <f>-Assumptions!B30</f>
        <v>-1879000000</v>
      </c>
    </row>
    <row r="22" spans="1:2" x14ac:dyDescent="0.25">
      <c r="A22" t="s">
        <v>64</v>
      </c>
      <c r="B22" s="18">
        <f>B20+B21</f>
        <v>1003665126.3097849</v>
      </c>
    </row>
    <row r="23" spans="1:2" x14ac:dyDescent="0.25">
      <c r="A23" s="19" t="s">
        <v>65</v>
      </c>
      <c r="B23" s="25">
        <f>B22/Assumptions!B31</f>
        <v>0.9336419779625906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-0.8279078667446733</v>
      </c>
    </row>
    <row r="29" spans="1:2" x14ac:dyDescent="0.25">
      <c r="A29" s="19" t="s">
        <v>73</v>
      </c>
      <c r="B29" s="12">
        <f>B28/B26-1</f>
        <v>-1.2249749637893135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0.054948</v>
      </c>
      <c r="B5" s="31">
        <v>-0.6771974683984457</v>
      </c>
      <c r="C5" s="31">
        <v>-0.6752915042580465</v>
      </c>
      <c r="D5" s="31">
        <v>-0.6733855401176475</v>
      </c>
      <c r="E5" s="31">
        <v>-0.6714795759772483</v>
      </c>
      <c r="F5" s="31">
        <v>-0.6695736118368493</v>
      </c>
    </row>
    <row r="6" spans="1:6" x14ac:dyDescent="0.25">
      <c r="A6" s="30">
        <v>0.064948</v>
      </c>
      <c r="B6" s="31">
        <v>-0.7641547494647001</v>
      </c>
      <c r="C6" s="31">
        <v>-0.7626092716975599</v>
      </c>
      <c r="D6" s="31">
        <v>-0.7610637939304199</v>
      </c>
      <c r="E6" s="31">
        <v>-0.7595183161632797</v>
      </c>
      <c r="F6" s="31">
        <v>-0.7579728383961397</v>
      </c>
    </row>
    <row r="7" spans="1:6" x14ac:dyDescent="0.25">
      <c r="A7" s="30">
        <v>0.074948</v>
      </c>
      <c r="B7" s="31">
        <v>-0.8304774221378364</v>
      </c>
      <c r="C7" s="31">
        <v>-0.8291933105831927</v>
      </c>
      <c r="D7" s="32">
        <v>-0.8279091990285492</v>
      </c>
      <c r="E7" s="31">
        <v>-0.8266250874739055</v>
      </c>
      <c r="F7" s="31">
        <v>-0.825340975919262</v>
      </c>
    </row>
    <row r="8" spans="1:6" x14ac:dyDescent="0.25">
      <c r="A8" s="30">
        <v>0.084948</v>
      </c>
      <c r="B8" s="31">
        <v>-0.883327697421964</v>
      </c>
      <c r="C8" s="31">
        <v>-0.8822409889832092</v>
      </c>
      <c r="D8" s="31">
        <v>-0.8811542805444544</v>
      </c>
      <c r="E8" s="31">
        <v>-0.8800675721056996</v>
      </c>
      <c r="F8" s="31">
        <v>-0.8789808636669448</v>
      </c>
    </row>
    <row r="9" spans="1:6" x14ac:dyDescent="0.25">
      <c r="A9" s="30">
        <v>0.094948</v>
      </c>
      <c r="B9" s="31">
        <v>-0.9268577599161654</v>
      </c>
      <c r="C9" s="31">
        <v>-0.9259248283090604</v>
      </c>
      <c r="D9" s="31">
        <v>-0.9249918967019558</v>
      </c>
      <c r="E9" s="31">
        <v>-0.924058965094851</v>
      </c>
      <c r="F9" s="31">
        <v>-0.9231260334877462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5994000000</v>
      </c>
      <c r="C5" s="18">
        <v>6994000000</v>
      </c>
      <c r="D5" s="18">
        <v>7683000000</v>
      </c>
      <c r="E5" s="18">
        <v>8469000000</v>
      </c>
      <c r="F5" s="8" t="s">
        <v>84</v>
      </c>
    </row>
    <row r="6" spans="1:6" x14ac:dyDescent="0.25">
      <c r="A6" t="s">
        <v>44</v>
      </c>
      <c r="B6" s="18">
        <v>65000000</v>
      </c>
      <c r="C6" s="18">
        <v>7000000</v>
      </c>
      <c r="D6" s="18">
        <v>160000000</v>
      </c>
      <c r="E6" s="18">
        <v>89000000</v>
      </c>
      <c r="F6" s="8" t="s">
        <v>85</v>
      </c>
    </row>
    <row r="7" spans="1:6" x14ac:dyDescent="0.25">
      <c r="A7" t="s">
        <v>86</v>
      </c>
      <c r="B7" s="18">
        <v>316000000</v>
      </c>
      <c r="C7" s="18">
        <v>360000000</v>
      </c>
      <c r="D7" s="18">
        <v>337000000</v>
      </c>
      <c r="E7" s="18">
        <v>358000000</v>
      </c>
      <c r="F7" s="8" t="s">
        <v>87</v>
      </c>
    </row>
    <row r="8" spans="1:6" x14ac:dyDescent="0.25">
      <c r="A8" t="s">
        <v>88</v>
      </c>
      <c r="B8" s="18">
        <v>288000000</v>
      </c>
      <c r="C8" s="18">
        <v>280000000</v>
      </c>
      <c r="D8" s="18">
        <v>402000000</v>
      </c>
      <c r="E8" s="18">
        <v>445000000</v>
      </c>
      <c r="F8" s="8" t="s">
        <v>89</v>
      </c>
    </row>
    <row r="9" spans="1:6" x14ac:dyDescent="0.25">
      <c r="A9" t="s">
        <v>90</v>
      </c>
      <c r="B9" s="18">
        <v>259000000</v>
      </c>
      <c r="C9" s="18">
        <v>-173000000</v>
      </c>
      <c r="D9" s="18">
        <v>-299000000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2024000000</v>
      </c>
      <c r="C10" s="18">
        <v>2669000000</v>
      </c>
      <c r="D10" s="18">
        <v>3544000000</v>
      </c>
      <c r="E10" s="18">
        <v>3399000000</v>
      </c>
      <c r="F10" s="8" t="s">
        <v>93</v>
      </c>
    </row>
    <row r="11" spans="1:6" x14ac:dyDescent="0.25">
      <c r="A11" t="s">
        <v>94</v>
      </c>
      <c r="B11" s="18">
        <v>145000000</v>
      </c>
      <c r="C11" s="18">
        <v>139000000</v>
      </c>
      <c r="D11" s="18">
        <v>311000000</v>
      </c>
      <c r="E11" s="18">
        <v>365000000</v>
      </c>
      <c r="F11" s="8" t="s">
        <v>95</v>
      </c>
    </row>
    <row r="12" spans="1:6" x14ac:dyDescent="0.25">
      <c r="A12" t="s">
        <v>32</v>
      </c>
      <c r="B12" s="34">
        <v>1075000000</v>
      </c>
      <c r="C12" s="34">
        <v>1013000000</v>
      </c>
      <c r="D12" s="34">
        <v>807952361</v>
      </c>
      <c r="E12" s="34">
        <v>853834138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2026-09-19T01:59:52Z</dcterms:modified>
</cp:coreProperties>
</file>