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<sst xmlns="http://schemas.openxmlformats.org/spreadsheetml/2006/main" count="112" uniqueCount="100">
  <si>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Fincantieri S.p.A. (FCT.MI)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</si>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</sst>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0.06669522662633587</v>
      </c>
    </row>
    <row r="7" spans="1:2" x14ac:dyDescent="0.25">
      <c r="A7" t="s">
        <v>5</v>
      </c>
      <c r="B7" s="6">
        <v>-0.003203568459693393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0.03270203703696573</v>
      </c>
    </row>
    <row r="10" spans="1:2" x14ac:dyDescent="0.25">
      <c r="A10" t="s">
        <v>8</v>
      </c>
      <c r="B10" s="6">
        <v>0.03800648391188948</v>
      </c>
    </row>
    <row r="11" spans="1:2" x14ac:dyDescent="0.25">
      <c r="A11" t="s">
        <v>9</v>
      </c>
      <c r="B11" s="6">
        <v>-0.30392476409282065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13.364318184830404</v>
      </c>
    </row>
    <row r="14" spans="1:3" x14ac:dyDescent="0.25">
      <c r="A14" t="s">
        <v>12</v>
      </c>
      <c r="B14" s="6">
        <v>0.08400620101649874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0.85729</v>
      </c>
      <c r="C19" s="8" t="s">
        <v>19</v>
      </c>
    </row>
    <row r="20" spans="1:2" x14ac:dyDescent="0.25">
      <c r="A20" t="s">
        <v>20</v>
      </c>
      <c r="B20" s="10">
        <f>B17+B19*B18</f>
        <v>0.09772385</v>
      </c>
    </row>
    <row r="21" spans="1:3" x14ac:dyDescent="0.25">
      <c r="A21" t="s">
        <v>21</v>
      </c>
      <c r="B21" s="6">
        <v>0.07637803047225238</v>
      </c>
      <c r="C21" s="8" t="s">
        <v>22</v>
      </c>
    </row>
    <row r="22" spans="1:2" x14ac:dyDescent="0.25">
      <c r="A22" t="s">
        <v>23</v>
      </c>
      <c r="B22" s="11">
        <v>4470176768</v>
      </c>
    </row>
    <row r="23" spans="1:2" x14ac:dyDescent="0.25">
      <c r="A23" t="s">
        <v>24</v>
      </c>
      <c r="B23" s="11">
        <v>2294692000</v>
      </c>
    </row>
    <row r="24" spans="1:2" x14ac:dyDescent="0.25">
      <c r="A24" t="s">
        <v>25</v>
      </c>
      <c r="B24" s="10">
        <f>B22/(B22+B23)</f>
        <v>0.6607928285535073</v>
      </c>
    </row>
    <row r="25" spans="1:2" x14ac:dyDescent="0.25">
      <c r="A25" t="s">
        <v>26</v>
      </c>
      <c r="B25" s="10">
        <f>1-B24</f>
        <v>0.3392071714464927</v>
      </c>
    </row>
    <row r="26" spans="1:2" x14ac:dyDescent="0.25">
      <c r="A26" t="s">
        <v>27</v>
      </c>
      <c r="B26" s="12">
        <f>B24*B20+B25*B21*(1-B8)</f>
        <v>0.08400620101649874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8919859000</v>
      </c>
      <c r="C29" s="8" t="s">
        <v>30</v>
      </c>
    </row>
    <row r="30" spans="1:2" x14ac:dyDescent="0.25">
      <c r="A30" t="s">
        <v>31</v>
      </c>
      <c r="B30" s="11">
        <v>1781531000</v>
      </c>
    </row>
    <row r="31" spans="1:2" x14ac:dyDescent="0.25">
      <c r="A31" t="s">
        <v>32</v>
      </c>
      <c r="B31" s="13">
        <v>324284998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0.06669522662633587</v>
      </c>
      <c r="C5" s="10">
        <f>Assumptions!B6</f>
        <v>0.06669522662633587</v>
      </c>
      <c r="D5" s="10">
        <f>Assumptions!B6</f>
        <v>0.06669522662633587</v>
      </c>
      <c r="E5" s="10">
        <f>Assumptions!B6</f>
        <v>0.06669522662633587</v>
      </c>
      <c r="F5" s="10">
        <f>Assumptions!B6</f>
        <v>0.06669522662633587</v>
      </c>
    </row>
    <row r="6" spans="1:6" x14ac:dyDescent="0.25">
      <c r="A6" t="s">
        <v>43</v>
      </c>
      <c r="B6" s="18">
        <f>Assumptions!B29*(1+B5)</f>
        <v>9514771017.479961</v>
      </c>
      <c r="C6" s="18">
        <f>B6*(1+C5)</f>
        <v>10149360826.788479</v>
      </c>
      <c r="D6" s="18">
        <f>C6*(1+D5)</f>
        <v>10826274747.243591</v>
      </c>
      <c r="E6" s="18">
        <f>D6*(1+E5)</f>
        <v>11548335595.02998</v>
      </c>
      <c r="F6" s="18">
        <f>E6*(1+F5)</f>
        <v>12318554454.697485</v>
      </c>
    </row>
    <row r="7" spans="1:6" x14ac:dyDescent="0.25">
      <c r="A7" t="s">
        <v>5</v>
      </c>
      <c r="B7" s="10">
        <f>Assumptions!B7</f>
        <v>-0.003203568459693393</v>
      </c>
      <c r="C7" s="10">
        <f>Assumptions!B7</f>
        <v>-0.003203568459693393</v>
      </c>
      <c r="D7" s="10">
        <f>Assumptions!B7</f>
        <v>-0.003203568459693393</v>
      </c>
      <c r="E7" s="10">
        <f>Assumptions!B7</f>
        <v>-0.003203568459693393</v>
      </c>
      <c r="F7" s="10">
        <f>Assumptions!B7</f>
        <v>-0.003203568459693393</v>
      </c>
    </row>
    <row r="8" spans="1:6" x14ac:dyDescent="0.25">
      <c r="A8" t="s">
        <v>44</v>
      </c>
      <c r="B8" s="18">
        <f>B6*B7</f>
        <v>-30481220.33280362</v>
      </c>
      <c r="C8" s="18">
        <f>C6*C7</f>
        <v>-32514172.23074723</v>
      </c>
      <c r="D8" s="18">
        <f>D6*D7</f>
        <v>-34682712.31624463</v>
      </c>
      <c r="E8" s="18">
        <f>E6*E7</f>
        <v>-36995883.67419258</v>
      </c>
      <c r="F8" s="18">
        <f>F6*F7</f>
        <v>-39463332.52008441</v>
      </c>
    </row>
    <row r="9" spans="1:6" x14ac:dyDescent="0.25">
      <c r="A9" t="s">
        <v>45</v>
      </c>
      <c r="B9" s="18">
        <f>B8*(1-Assumptions!B8)</f>
        <v>-22860915.249602713</v>
      </c>
      <c r="C9" s="18">
        <f>C8*(1-Assumptions!B8)</f>
        <v>-24385629.173060425</v>
      </c>
      <c r="D9" s="18">
        <f>D8*(1-Assumptions!B8)</f>
        <v>-26012034.237183474</v>
      </c>
      <c r="E9" s="18">
        <f>E8*(1-Assumptions!B8)</f>
        <v>-27746912.755644433</v>
      </c>
      <c r="F9" s="18">
        <f>F8*(1-Assumptions!B8)</f>
        <v>-29597499.39006331</v>
      </c>
    </row>
    <row r="10" spans="1:6" x14ac:dyDescent="0.25">
      <c r="A10" t="s">
        <v>46</v>
      </c>
      <c r="B10" s="18">
        <f>B6*Assumptions!B9</f>
        <v>311152394.2118778</v>
      </c>
      <c r="C10" s="18">
        <f>C6*Assumptions!B9</f>
        <v>331904773.659166</v>
      </c>
      <c r="D10" s="18">
        <f>D6*Assumptions!B9</f>
        <v>354041237.75672674</v>
      </c>
      <c r="E10" s="18">
        <f>E6*Assumptions!B9</f>
        <v>377654098.3439801</v>
      </c>
      <c r="F10" s="18">
        <f>F6*Assumptions!B9</f>
        <v>402841824.01939636</v>
      </c>
    </row>
    <row r="11" spans="1:6" x14ac:dyDescent="0.25">
      <c r="A11" t="s">
        <v>47</v>
      </c>
      <c r="B11" s="18">
        <f>-B6*Assumptions!B10</f>
        <v>-361622991.60116446</v>
      </c>
      <c r="C11" s="18">
        <f>-C6*Assumptions!B10</f>
        <v>-385741518.97929764</v>
      </c>
      <c r="D11" s="18">
        <f>-D6*Assumptions!B10</f>
        <v>-411468637.00680894</v>
      </c>
      <c r="E11" s="18">
        <f>-E6*Assumptions!B10</f>
        <v>-438911631.00160754</v>
      </c>
      <c r="F11" s="18">
        <f>-F6*Assumptions!B10</f>
        <v>-468184941.7001945</v>
      </c>
    </row>
    <row r="12" spans="1:6" x14ac:dyDescent="0.25">
      <c r="A12" t="s">
        <v>48</v>
      </c>
      <c r="B12" s="18">
        <f>-(B6-Assumptions!B29)*Assumptions!B11</f>
        <v>180808494.56858125</v>
      </c>
      <c r="C12" s="18">
        <f>-(C6-B6)*Assumptions!B11</f>
        <v>192867558.08979923</v>
      </c>
      <c r="D12" s="18">
        <f>-(D6-C6)*Assumptions!B11</f>
        <v>205730903.5854664</v>
      </c>
      <c r="E12" s="18">
        <f>-(E6-D6)*Assumptions!B11</f>
        <v>219452172.82414016</v>
      </c>
      <c r="F12" s="18">
        <f>-(F6-E6)*Assumptions!B11</f>
        <v>234088585.22428787</v>
      </c>
    </row>
    <row r="13" spans="1:6" x14ac:dyDescent="0.25">
      <c r="A13" s="19" t="s">
        <v>49</v>
      </c>
      <c r="B13" s="20">
        <f>B9+B10+B11+B12</f>
        <v>107476981.92969188</v>
      </c>
      <c r="C13" s="20">
        <f>C9+C10+C11+C12</f>
        <v>114645183.59660715</v>
      </c>
      <c r="D13" s="20">
        <f>D9+D10+D11+D12</f>
        <v>122291470.09820077</v>
      </c>
      <c r="E13" s="20">
        <f>E9+E10+E11+E12</f>
        <v>130447727.41086826</v>
      </c>
      <c r="F13" s="20">
        <f>F9+F10+F11+F12</f>
        <v>139147968.15342647</v>
      </c>
    </row>
    <row r="14" spans="1:6" x14ac:dyDescent="0.25">
      <c r="A14" t="s">
        <v>50</v>
      </c>
      <c r="B14" s="21">
        <f>1/(1+Assumptions!$B$26)^(1-0.5*Assumptions!$B$32)</f>
        <v>0.9604706908141958</v>
      </c>
      <c r="C14" s="21">
        <f>1/(1+Assumptions!$B$26)^(2-0.5*Assumptions!$B$32)</f>
        <v>0.8860380041309166</v>
      </c>
      <c r="D14" s="21">
        <f>1/(1+Assumptions!$B$26)^(3-0.5*Assumptions!$B$32)</f>
        <v>0.8173735568118129</v>
      </c>
      <c r="E14" s="21">
        <f>1/(1+Assumptions!$B$26)^(4-0.5*Assumptions!$B$32)</f>
        <v>0.7540303330786687</v>
      </c>
      <c r="F14" s="21">
        <f>1/(1+Assumptions!$B$26)^(5-0.5*Assumptions!$B$32)</f>
        <v>0.6955959591113005</v>
      </c>
    </row>
    <row r="15" spans="1:6" x14ac:dyDescent="0.25">
      <c r="A15" s="19" t="s">
        <v>51</v>
      </c>
      <c r="B15" s="20">
        <f>B13*B14</f>
        <v>103228491.080636</v>
      </c>
      <c r="C15" s="20">
        <f>C13*C14</f>
        <v>101579989.6571603</v>
      </c>
      <c r="D15" s="20">
        <f>D13*D14</f>
        <v>99957813.88191183</v>
      </c>
      <c r="E15" s="20">
        <f>E13*E14</f>
        <v>98361543.34897238</v>
      </c>
      <c r="F15" s="20">
        <f>F13*F14</f>
        <v>96790764.36607137</v>
      </c>
    </row>
    <row r="17" spans="1:2" x14ac:dyDescent="0.25">
      <c r="A17" s="22" t="s">
        <v>52</v>
      </c>
      <c r="B17" s="23">
        <f>SUM(B15:F15)</f>
        <v>499918602.33475184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139147968.15342647</v>
      </c>
    </row>
    <row r="5" spans="1:2" x14ac:dyDescent="0.25">
      <c r="A5" t="s">
        <v>56</v>
      </c>
      <c r="B5" s="18">
        <f>IF(Assumptions!$B$33=0,B4,B4-Forecast!F11-Forecast!F10-Forecast!F12)</f>
        <v>-29597499.39006331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0.2975970785191206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499918602.33475184</v>
      </c>
    </row>
    <row r="12" spans="1:2" x14ac:dyDescent="0.25">
      <c r="A12" t="s">
        <v>63</v>
      </c>
      <c r="B12" s="18">
        <f>-Assumptions!B30</f>
        <v>-1781531000</v>
      </c>
    </row>
    <row r="13" spans="1:2" x14ac:dyDescent="0.25">
      <c r="A13" t="s">
        <v>64</v>
      </c>
      <c r="B13" s="18">
        <f>B11+B12</f>
        <v>-1281612397.6652482</v>
      </c>
    </row>
    <row r="14" spans="1:2" x14ac:dyDescent="0.25">
      <c r="A14" s="19" t="s">
        <v>65</v>
      </c>
      <c r="B14" s="24">
        <f>B13/Assumptions!B31</f>
        <v>-3.9521174447460816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363378491.4993119</v>
      </c>
    </row>
    <row r="18" spans="1:2" x14ac:dyDescent="0.25">
      <c r="A18" t="s">
        <v>60</v>
      </c>
      <c r="B18" s="18">
        <f>B17*Assumptions!B13</f>
        <v>4856305781.920495</v>
      </c>
    </row>
    <row r="19" spans="1:2" x14ac:dyDescent="0.25">
      <c r="A19" t="s">
        <v>61</v>
      </c>
      <c r="B19" s="18">
        <f>B18/(1+Assumptions!B26)^(5-0.5*Assumptions!B32)</f>
        <v>3378026678.1127405</v>
      </c>
    </row>
    <row r="20" spans="1:2" x14ac:dyDescent="0.25">
      <c r="A20" t="s">
        <v>62</v>
      </c>
      <c r="B20" s="18">
        <f>Forecast!B17+B19</f>
        <v>3877945280.4474926</v>
      </c>
    </row>
    <row r="21" spans="1:2" x14ac:dyDescent="0.25">
      <c r="A21" t="s">
        <v>63</v>
      </c>
      <c r="B21" s="18">
        <f>-Assumptions!B30</f>
        <v>-1781531000</v>
      </c>
    </row>
    <row r="22" spans="1:2" x14ac:dyDescent="0.25">
      <c r="A22" t="s">
        <v>64</v>
      </c>
      <c r="B22" s="18">
        <f>B20+B21</f>
        <v>2096414280.4474926</v>
      </c>
    </row>
    <row r="23" spans="1:2" x14ac:dyDescent="0.25">
      <c r="A23" s="19" t="s">
        <v>65</v>
      </c>
      <c r="B23" s="25">
        <f>B22/Assumptions!B31</f>
        <v>6.464727919505831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-3.9521174447460816</v>
      </c>
    </row>
    <row r="29" spans="1:2" x14ac:dyDescent="0.25">
      <c r="A29" s="19" t="s">
        <v>73</v>
      </c>
      <c r="B29" s="12">
        <f>B28/B26-1</f>
        <v>-1.3179499151042704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0.064006</v>
      </c>
      <c r="B5" s="31">
        <v>-3.879057088158218</v>
      </c>
      <c r="C5" s="31">
        <v>-3.879057088158218</v>
      </c>
      <c r="D5" s="31">
        <v>-3.879057088158218</v>
      </c>
      <c r="E5" s="31">
        <v>-3.879057088158218</v>
      </c>
      <c r="F5" s="31">
        <v>-3.879057088158218</v>
      </c>
    </row>
    <row r="6" spans="1:6" x14ac:dyDescent="0.25">
      <c r="A6" s="30">
        <v>0.074006</v>
      </c>
      <c r="B6" s="31">
        <v>-3.9163165495348955</v>
      </c>
      <c r="C6" s="31">
        <v>-3.9163165495348955</v>
      </c>
      <c r="D6" s="31">
        <v>-3.9163165495348955</v>
      </c>
      <c r="E6" s="31">
        <v>-3.9163165495348955</v>
      </c>
      <c r="F6" s="31">
        <v>-3.9163165495348955</v>
      </c>
    </row>
    <row r="7" spans="1:6" x14ac:dyDescent="0.25">
      <c r="A7" s="30">
        <v>0.084006</v>
      </c>
      <c r="B7" s="31">
        <v>-3.95211673926766</v>
      </c>
      <c r="C7" s="31">
        <v>-3.95211673926766</v>
      </c>
      <c r="D7" s="32">
        <v>-3.95211673926766</v>
      </c>
      <c r="E7" s="31">
        <v>-3.95211673926766</v>
      </c>
      <c r="F7" s="31">
        <v>-3.95211673926766</v>
      </c>
    </row>
    <row r="8" spans="1:6" x14ac:dyDescent="0.25">
      <c r="A8" s="30">
        <v>0.094006</v>
      </c>
      <c r="B8" s="31">
        <v>-3.9865315286255734</v>
      </c>
      <c r="C8" s="31">
        <v>-3.9865315286255734</v>
      </c>
      <c r="D8" s="31">
        <v>-3.9865315286255734</v>
      </c>
      <c r="E8" s="31">
        <v>-3.9865315286255734</v>
      </c>
      <c r="F8" s="31">
        <v>-3.9865315286255734</v>
      </c>
    </row>
    <row r="9" spans="1:6" x14ac:dyDescent="0.25">
      <c r="A9" s="30">
        <v>0.104006</v>
      </c>
      <c r="B9" s="31">
        <v>-4.019630306778943</v>
      </c>
      <c r="C9" s="31">
        <v>-4.019630306778943</v>
      </c>
      <c r="D9" s="31">
        <v>-4.019630306778943</v>
      </c>
      <c r="E9" s="31">
        <v>-4.019630306778943</v>
      </c>
      <c r="F9" s="31">
        <v>-4.019630306778943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8919859000</v>
      </c>
      <c r="C5" s="18">
        <v>7950731000</v>
      </c>
      <c r="D5" s="18">
        <v>7447567000</v>
      </c>
      <c r="E5" s="18">
        <v>7349147000</v>
      </c>
      <c r="F5" s="8" t="s">
        <v>84</v>
      </c>
    </row>
    <row r="6" spans="1:6" x14ac:dyDescent="0.25">
      <c r="A6" t="s">
        <v>44</v>
      </c>
      <c r="B6" s="18">
        <v>160635000</v>
      </c>
      <c r="C6" s="18">
        <v>24443000</v>
      </c>
      <c r="D6" s="18">
        <v>-44112000</v>
      </c>
      <c r="E6" s="18">
        <v>-205587000</v>
      </c>
      <c r="F6" s="8" t="s">
        <v>85</v>
      </c>
    </row>
    <row r="7" spans="1:6" x14ac:dyDescent="0.25">
      <c r="A7" t="s">
        <v>86</v>
      </c>
      <c r="B7" s="18">
        <v>307156000</v>
      </c>
      <c r="C7" s="18">
        <v>266804000</v>
      </c>
      <c r="D7" s="18">
        <v>233798000</v>
      </c>
      <c r="E7" s="18">
        <v>230935000</v>
      </c>
      <c r="F7" s="8" t="s">
        <v>87</v>
      </c>
    </row>
    <row r="8" spans="1:6" x14ac:dyDescent="0.25">
      <c r="A8" t="s">
        <v>88</v>
      </c>
      <c r="B8" s="18">
        <v>392657000</v>
      </c>
      <c r="C8" s="18">
        <v>263925000</v>
      </c>
      <c r="D8" s="18">
        <v>258330000</v>
      </c>
      <c r="E8" s="18">
        <v>294876000</v>
      </c>
      <c r="F8" s="8" t="s">
        <v>89</v>
      </c>
    </row>
    <row r="9" spans="1:6" x14ac:dyDescent="0.25">
      <c r="A9" t="s">
        <v>90</v>
      </c>
      <c r="B9" s="18">
        <v>-133508000</v>
      </c>
      <c r="C9" s="18">
        <v>-152924000</v>
      </c>
      <c r="D9" s="18">
        <v>-438096000</v>
      </c>
      <c r="E9" s="18">
        <v>80756000</v>
      </c>
      <c r="F9" s="8" t="s">
        <v>91</v>
      </c>
    </row>
    <row r="10" spans="1:6" x14ac:dyDescent="0.25">
      <c r="A10" t="s">
        <v>92</v>
      </c>
      <c r="B10" s="18">
        <v>2294692000</v>
      </c>
      <c r="C10" s="18">
        <v>2325380000</v>
      </c>
      <c r="D10" s="18">
        <v>2913787000</v>
      </c>
      <c r="E10" s="18">
        <v>3212630000</v>
      </c>
      <c r="F10" s="8" t="s">
        <v>93</v>
      </c>
    </row>
    <row r="11" spans="1:6" x14ac:dyDescent="0.25">
      <c r="A11" t="s">
        <v>94</v>
      </c>
      <c r="B11" s="18">
        <v>513161000</v>
      </c>
      <c r="C11" s="18">
        <v>684458000</v>
      </c>
      <c r="D11" s="18">
        <v>757273000</v>
      </c>
      <c r="E11" s="18">
        <v>564576000</v>
      </c>
      <c r="F11" s="8" t="s">
        <v>95</v>
      </c>
    </row>
    <row r="12" spans="1:6" x14ac:dyDescent="0.25">
      <c r="A12" t="s">
        <v>32</v>
      </c>
      <c r="B12" s="34">
        <v>324284998</v>
      </c>
      <c r="C12" s="34">
        <v>322752243</v>
      </c>
      <c r="D12" s="34">
        <v>218185922</v>
      </c>
      <c r="E12" s="34">
        <v>221505619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