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<sst xmlns="http://schemas.openxmlformats.org/spreadsheetml/2006/main" count="120" uniqueCount="107">
  <si>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Freeport-McMoRan Inc. (FCX)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</si>
  <si>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</si>
  <si>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</si>
  <si>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</si>
  <si>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</si>
  <si>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</si>
  <si>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</si>
  <si>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</si>
  <si>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</si>
  <si>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</si>
  <si>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</si>
  <si>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</si>
  <si>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</si>
  <si>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</si>
  <si>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</si>
  <si>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</si>
  <si>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</si>
  <si>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</si>
  <si>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</si>
  <si>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</si>
  <si>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</si>
  <si>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</si>
  <si>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</si>
  <si>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</si>
  <si>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17.6x interest cover. Book interest / average debt was lower, at 3.6%.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</si>
  <si>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</si>
  <si>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</si>
  <si>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</si>
  <si>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</si>
  <si>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</si>
  <si>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</si>
  <si>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</si>
  <si>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</si>
  <si>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</si>
  <si>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</si>
  <si>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</si>
  <si>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</si>
  <si>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</si>
  <si>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</si>
  <si>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</si>
  <si>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</si>
  <si>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</si>
  <si>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</si>
  <si>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</si>
  <si>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</si>
  <si>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</si>
  <si>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</si>
  <si>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</si>
  <si>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</si>
  <si>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</si>
  <si>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</si>
  <si>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</si>
  <si>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</si>
  <si>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</si>
  <si>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</si>
  <si>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</si>
  <si>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</si>
  <si>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</si>
  <si>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</si>
  <si>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</si>
  <si>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</si>
  <si>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</si>
  <si>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</si>
  <si>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</si>
  <si>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</si>
  <si>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</si>
  <si>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</si>
  <si>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</si>
  <si>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</si>
  <si>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</si>
  <si>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</si>
  <si>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</si>
  <si>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</si>
  <si>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</si>
  <si>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</si>
  <si>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</si>
  <si>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</si>
  <si>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</si>
  <si>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</si>
  <si>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</si>
  <si>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</si>
  <si>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</si>
  <si>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</si>
  <si>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</si>
  <si>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</si>
  <si>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</si>
  <si>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</si>
  <si>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</si>
  <si>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</si>
  <si>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</si>
  <si>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</si>
  <si>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</si>
  <si>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</si>
  <si>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</si>
  <si>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</si>
  <si>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</si>
  <si>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</si>
  <si>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</si>
  <si>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</si>
  <si>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</si>
  <si>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</si>
  <si>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</si>
  <si>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</si>
  <si>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</si>
  <si>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</si>
  <si>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18.1% of revenue against depreciation of 8.8%.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</si>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</sst>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0.1617172629751109</v>
      </c>
    </row>
    <row r="7" spans="1:2" x14ac:dyDescent="0.25">
      <c r="A7" t="s">
        <v>4</v>
      </c>
      <c r="B7" s="5">
        <v>0.2754246018294183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0.08843558787622001</v>
      </c>
    </row>
    <row r="10" spans="1:3" x14ac:dyDescent="0.25">
      <c r="A10" t="s">
        <v>7</v>
      </c>
      <c r="B10" s="5">
        <v>0.18141197863322045</v>
      </c>
      <c r="C10" s="6" t="s">
        <v>8</v>
      </c>
    </row>
    <row r="11" spans="1:2" x14ac:dyDescent="0.25">
      <c r="A11" t="s">
        <v>9</v>
      </c>
      <c r="B11" s="5">
        <v>0.19537207767225429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11.236171781385776</v>
      </c>
    </row>
    <row r="14" spans="1:3" x14ac:dyDescent="0.25">
      <c r="A14" t="s">
        <v>12</v>
      </c>
      <c r="B14" s="5">
        <v>0.1963562683205004</v>
      </c>
      <c r="C14" s="6" t="s">
        <v>13</v>
      </c>
    </row>
    <row r="15" spans="1:3" x14ac:dyDescent="0.25">
      <c r="A15" t="s">
        <v>14</v>
      </c>
      <c r="B15" s="5">
        <v>0.08843558787622001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1.2499099999999999</v>
      </c>
      <c r="C19" s="6" t="s">
        <v>21</v>
      </c>
    </row>
    <row r="20" spans="1:2" x14ac:dyDescent="0.25">
      <c r="A20" t="s">
        <v>22</v>
      </c>
      <c r="B20" s="9">
        <f>B17+B19*B18</f>
        <v>0.101811193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91603558400</v>
      </c>
    </row>
    <row r="23" spans="1:2" x14ac:dyDescent="0.25">
      <c r="A23" t="s">
        <v>26</v>
      </c>
      <c r="B23" s="10">
        <v>10492000000</v>
      </c>
    </row>
    <row r="24" spans="1:2" x14ac:dyDescent="0.25">
      <c r="A24" t="s">
        <v>27</v>
      </c>
      <c r="B24" s="9">
        <f>B22/(B22+B23)</f>
        <v>0.8972335313658464</v>
      </c>
    </row>
    <row r="25" spans="1:2" x14ac:dyDescent="0.25">
      <c r="A25" t="s">
        <v>28</v>
      </c>
      <c r="B25" s="9">
        <f>1-B24</f>
        <v>0.10276646863415362</v>
      </c>
    </row>
    <row r="26" spans="1:2" x14ac:dyDescent="0.25">
      <c r="A26" t="s">
        <v>29</v>
      </c>
      <c r="B26" s="11">
        <f>B24*B20+B25*B21*(1-B8)</f>
        <v>0.09564637713905849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25915000000</v>
      </c>
      <c r="C29" s="6" t="s">
        <v>32</v>
      </c>
    </row>
    <row r="30" spans="1:2" x14ac:dyDescent="0.25">
      <c r="A30" t="s">
        <v>33</v>
      </c>
      <c r="B30" s="10">
        <v>6668000000</v>
      </c>
    </row>
    <row r="31" spans="1:2" x14ac:dyDescent="0.25">
      <c r="A31" t="s">
        <v>34</v>
      </c>
      <c r="B31" s="12">
        <v>1443000000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0.1617172629751109</v>
      </c>
      <c r="C5" s="5">
        <v>0.20880474726649512</v>
      </c>
      <c r="D5" s="5">
        <v>0.18582915385818322</v>
      </c>
      <c r="E5" s="5">
        <v>0.16285356044987134</v>
      </c>
      <c r="F5" s="5">
        <v>0.13987796704155944</v>
      </c>
      <c r="G5" s="5">
        <v>0.11690237363324756</v>
      </c>
      <c r="H5" s="5">
        <v>0.09392678022493567</v>
      </c>
      <c r="I5" s="5">
        <v>0.07095118681662377</v>
      </c>
      <c r="J5" s="5">
        <v>0.047975593408311895</v>
      </c>
      <c r="K5" s="5">
        <v>0.024999999999999994</v>
      </c>
    </row>
    <row r="6" spans="1:11" x14ac:dyDescent="0.25">
      <c r="A6" t="s">
        <v>50</v>
      </c>
      <c r="B6" s="18">
        <f>Assumptions!B29*(1+B5)</f>
        <v>30105902870</v>
      </c>
      <c r="C6" s="18">
        <f>B6*(1+C5)</f>
        <v>36392158310</v>
      </c>
      <c r="D6" s="18">
        <f>C6*(1+D5)</f>
        <v>43154882295.82035</v>
      </c>
      <c r="E6" s="18">
        <f>D6*(1+E5)</f>
        <v>50182808528.489815</v>
      </c>
      <c r="F6" s="18">
        <f>E6*(1+F5)</f>
        <v>57202277765.89081</v>
      </c>
      <c r="G6" s="18">
        <f>F6*(1+G5)</f>
        <v>63889359813.95178</v>
      </c>
      <c r="H6" s="18">
        <f>G6*(1+H5)</f>
        <v>69890281671.90868</v>
      </c>
      <c r="I6" s="18">
        <f>H6*(1+I5)</f>
        <v>74849080103.47871</v>
      </c>
      <c r="J6" s="18">
        <f>I6*(1+J5)</f>
        <v>78440009137.50938</v>
      </c>
      <c r="K6" s="18">
        <f>J6*(1+K5)</f>
        <v>80401009365.94711</v>
      </c>
    </row>
    <row r="7" spans="1:11" x14ac:dyDescent="0.25">
      <c r="A7" t="s">
        <v>4</v>
      </c>
      <c r="B7" s="9">
        <f>Assumptions!B7</f>
        <v>0.2754246018294183</v>
      </c>
      <c r="C7" s="9">
        <f>Assumptions!B7</f>
        <v>0.2754246018294183</v>
      </c>
      <c r="D7" s="9">
        <f>Assumptions!B7</f>
        <v>0.2754246018294183</v>
      </c>
      <c r="E7" s="9">
        <f>Assumptions!B7</f>
        <v>0.2754246018294183</v>
      </c>
      <c r="F7" s="9">
        <f>Assumptions!B7</f>
        <v>0.2754246018294183</v>
      </c>
      <c r="G7" s="9">
        <f>Assumptions!B7</f>
        <v>0.2754246018294183</v>
      </c>
      <c r="H7" s="9">
        <f>Assumptions!B7</f>
        <v>0.2754246018294183</v>
      </c>
      <c r="I7" s="9">
        <f>Assumptions!B7</f>
        <v>0.2754246018294183</v>
      </c>
      <c r="J7" s="9">
        <f>Assumptions!B7</f>
        <v>0.2754246018294183</v>
      </c>
      <c r="K7" s="9">
        <f>Assumptions!B7</f>
        <v>0.2754246018294183</v>
      </c>
    </row>
    <row r="8" spans="1:11" x14ac:dyDescent="0.25">
      <c r="A8" t="s">
        <v>51</v>
      </c>
      <c r="B8" s="18">
        <f>B6*B7</f>
        <v>8291906310.684892</v>
      </c>
      <c r="C8" s="18">
        <f>C6*C7</f>
        <v>10023295712.244907</v>
      </c>
      <c r="D8" s="18">
        <f>D6*D7</f>
        <v>11885916273.321733</v>
      </c>
      <c r="E8" s="18">
        <f>E6*E7</f>
        <v>13821580057.641245</v>
      </c>
      <c r="F8" s="18">
        <f>F6*F7</f>
        <v>15754914577.406263</v>
      </c>
      <c r="G8" s="18">
        <f>G6*G7</f>
        <v>17596701487.894108</v>
      </c>
      <c r="H8" s="18">
        <f>H6*H7</f>
        <v>19249503001.23134</v>
      </c>
      <c r="I8" s="18">
        <f>I6*I7</f>
        <v>20615278084.79886</v>
      </c>
      <c r="J8" s="18">
        <f>J6*J7</f>
        <v>21604308284.194454</v>
      </c>
      <c r="K8" s="18">
        <f>K6*K7</f>
        <v>22144415991.299316</v>
      </c>
    </row>
    <row r="9" spans="1:11" x14ac:dyDescent="0.25">
      <c r="A9" t="s">
        <v>52</v>
      </c>
      <c r="B9" s="18">
        <f>B8*(1-Assumptions!B8)</f>
        <v>6550605985.441065</v>
      </c>
      <c r="C9" s="18">
        <f>C8*(1-Assumptions!B8)</f>
        <v>7918403612.673477</v>
      </c>
      <c r="D9" s="18">
        <f>D8*(1-Assumptions!B8)</f>
        <v>9389873855.92417</v>
      </c>
      <c r="E9" s="18">
        <f>E8*(1-Assumptions!B8)</f>
        <v>10919048245.536585</v>
      </c>
      <c r="F9" s="18">
        <f>F8*(1-Assumptions!B8)</f>
        <v>12446382516.15095</v>
      </c>
      <c r="G9" s="18">
        <f>G8*(1-Assumptions!B8)</f>
        <v>13901394175.436346</v>
      </c>
      <c r="H9" s="18">
        <f>H8*(1-Assumptions!B8)</f>
        <v>15207107370.972757</v>
      </c>
      <c r="I9" s="18">
        <f>I8*(1-Assumptions!B8)</f>
        <v>16286069686.991098</v>
      </c>
      <c r="J9" s="18">
        <f>J8*(1-Assumptions!B8)</f>
        <v>17067403544.51362</v>
      </c>
      <c r="K9" s="18">
        <f>K8*(1-Assumptions!B8)</f>
        <v>17494088633.12646</v>
      </c>
    </row>
    <row r="10" spans="1:11" x14ac:dyDescent="0.25">
      <c r="A10" t="s">
        <v>53</v>
      </c>
      <c r="B10" s="18">
        <f>B6*Assumptions!B9</f>
        <v>2662433218.852829</v>
      </c>
      <c r="C10" s="18">
        <f>C6*Assumptions!B9</f>
        <v>3218361914.2293153</v>
      </c>
      <c r="D10" s="18">
        <f>D6*Assumptions!B9</f>
        <v>3816427385.559952</v>
      </c>
      <c r="E10" s="18">
        <f>E6*Assumptions!B9</f>
        <v>4437946173.496784</v>
      </c>
      <c r="F10" s="18">
        <f>F6*Assumptions!B9</f>
        <v>5058717062.085382</v>
      </c>
      <c r="G10" s="18">
        <f>G6*Assumptions!B9</f>
        <v>5650093094.182172</v>
      </c>
      <c r="H10" s="18">
        <f>H6*Assumptions!B9</f>
        <v>6180788146.489848</v>
      </c>
      <c r="I10" s="18">
        <f>I6*Assumptions!B9</f>
        <v>6619322400.945422</v>
      </c>
      <c r="J10" s="18">
        <f>J6*Assumptions!B9</f>
        <v>6936888321.091712</v>
      </c>
      <c r="K10" s="18">
        <f>K6*Assumptions!B9</f>
        <v>7110310529.119004</v>
      </c>
    </row>
    <row r="11" spans="1:11" x14ac:dyDescent="0.25">
      <c r="A11" t="s">
        <v>54</v>
      </c>
      <c r="B11" s="18">
        <f>-B6*B19</f>
        <v>-5461571408.186251</v>
      </c>
      <c r="C11" s="18">
        <f>-C6*C19</f>
        <v>-6338035266.525768</v>
      </c>
      <c r="D11" s="18">
        <f>-D6*D19</f>
        <v>-7202841409.486648</v>
      </c>
      <c r="E11" s="18">
        <f>-E6*E19</f>
        <v>-8011893373.303283</v>
      </c>
      <c r="F11" s="18">
        <f>-F6*F19</f>
        <v>-8717714843.407145</v>
      </c>
      <c r="G11" s="18">
        <f>-G6*G19</f>
        <v>-9273471707.209354</v>
      </c>
      <c r="H11" s="18">
        <f>-H6*H19</f>
        <v>-9637611998.34267</v>
      </c>
      <c r="I11" s="18">
        <f>-I6*I19</f>
        <v>-9778560722.245668</v>
      </c>
      <c r="J11" s="18">
        <f>-J6*J19</f>
        <v>-9678798077.564781</v>
      </c>
      <c r="K11" s="18">
        <f>-K6*K19</f>
        <v>-9337650759.043818</v>
      </c>
    </row>
    <row r="12" spans="1:11" x14ac:dyDescent="0.25">
      <c r="A12" t="s">
        <v>55</v>
      </c>
      <c r="B12" s="18">
        <f>-(B6-Assumptions!B29)*Assumptions!B11</f>
        <v>-818785401.0345134</v>
      </c>
      <c r="C12" s="18">
        <f>-(C6-B6)*Assumptions!B11</f>
        <v>-1228158786.091311</v>
      </c>
      <c r="D12" s="18">
        <f>-(D6-C6)*Assumptions!B11</f>
        <v>-1321247435.8337107</v>
      </c>
      <c r="E12" s="18">
        <f>-(E6-D6)*Assumptions!B11</f>
        <v>-1373060549.803972</v>
      </c>
      <c r="F12" s="18">
        <f>-(F6-E6)*Assumptions!B11</f>
        <v>-1371408289.0675063</v>
      </c>
      <c r="G12" s="18">
        <f>-(G6-F6)*Assumptions!B11</f>
        <v>-1306469113.2945058</v>
      </c>
      <c r="H12" s="18">
        <f>-(H6-G6)*Assumptions!B11</f>
        <v>-1172412571.3378828</v>
      </c>
      <c r="I12" s="18">
        <f>-(I6-H6)*Assumptions!B11</f>
        <v>-968810752.3337542</v>
      </c>
      <c r="J12" s="18">
        <f>-(J6-I6)*Assumptions!B11</f>
        <v>-701567266.1521932</v>
      </c>
      <c r="K12" s="18">
        <f>-(K6-J6)*Assumptions!B11</f>
        <v>-383124688.9456444</v>
      </c>
    </row>
    <row r="13" spans="1:11" x14ac:dyDescent="0.25">
      <c r="A13" s="19" t="s">
        <v>56</v>
      </c>
      <c r="B13" s="20">
        <f>B9+B10+B11+B12</f>
        <v>2932682395.0731297</v>
      </c>
      <c r="C13" s="20">
        <f>C9+C10+C11+C12</f>
        <v>3570571474.2857127</v>
      </c>
      <c r="D13" s="20">
        <f>D9+D10+D11+D12</f>
        <v>4682212396.163763</v>
      </c>
      <c r="E13" s="20">
        <f>E9+E10+E11+E12</f>
        <v>5972040495.926114</v>
      </c>
      <c r="F13" s="20">
        <f>F9+F10+F11+F12</f>
        <v>7415976445.761681</v>
      </c>
      <c r="G13" s="20">
        <f>G9+G10+G11+G12</f>
        <v>8971546449.114658</v>
      </c>
      <c r="H13" s="20">
        <f>H9+H10+H11+H12</f>
        <v>10577870947.782051</v>
      </c>
      <c r="I13" s="20">
        <f>I9+I10+I11+I12</f>
        <v>12158020613.357098</v>
      </c>
      <c r="J13" s="20">
        <f>J9+J10+J11+J12</f>
        <v>13623926521.888357</v>
      </c>
      <c r="K13" s="20">
        <f>K9+K10+K11+K12</f>
        <v>14883623714.256002</v>
      </c>
    </row>
    <row r="14" spans="1:11" x14ac:dyDescent="0.25">
      <c r="A14" t="s">
        <v>57</v>
      </c>
      <c r="B14" s="21">
        <f>1/(1+Assumptions!$B$26)^(1-0.5*Assumptions!$B$32)</f>
        <v>0.9553550342900315</v>
      </c>
      <c r="C14" s="21">
        <f>1/(1+Assumptions!$B$26)^(2-0.5*Assumptions!$B$32)</f>
        <v>0.8719556366212297</v>
      </c>
      <c r="D14" s="21">
        <f>1/(1+Assumptions!$B$26)^(3-0.5*Assumptions!$B$32)</f>
        <v>0.7958367360261546</v>
      </c>
      <c r="E14" s="21">
        <f>1/(1+Assumptions!$B$26)^(4-0.5*Assumptions!$B$32)</f>
        <v>0.7263627687103169</v>
      </c>
      <c r="F14" s="21">
        <f>1/(1+Assumptions!$B$26)^(5-0.5*Assumptions!$B$32)</f>
        <v>0.6629536535382781</v>
      </c>
      <c r="G14" s="21">
        <f>1/(1+Assumptions!$B$26)^(6-0.5*Assumptions!$B$32)</f>
        <v>0.6050799485773652</v>
      </c>
      <c r="H14" s="21">
        <f>1/(1+Assumptions!$B$26)^(7-0.5*Assumptions!$B$32)</f>
        <v>0.552258430459419</v>
      </c>
      <c r="I14" s="21">
        <f>1/(1+Assumptions!$B$26)^(8-0.5*Assumptions!$B$32)</f>
        <v>0.504048059649931</v>
      </c>
      <c r="J14" s="21">
        <f>1/(1+Assumptions!$B$26)^(9-0.5*Assumptions!$B$32)</f>
        <v>0.4600462979361065</v>
      </c>
      <c r="K14" s="21">
        <f>1/(1+Assumptions!$B$26)^(10-0.5*Assumptions!$B$32)</f>
        <v>0.4198857473862827</v>
      </c>
    </row>
    <row r="15" spans="1:11" x14ac:dyDescent="0.25">
      <c r="A15" s="19" t="s">
        <v>58</v>
      </c>
      <c r="B15" s="20">
        <f>B13*B14</f>
        <v>2801752890.1068616</v>
      </c>
      <c r="C15" s="20">
        <f>C13*C14</f>
        <v>3113379922.9624014</v>
      </c>
      <c r="D15" s="20">
        <f>D13*D14</f>
        <v>3726276630.744169</v>
      </c>
      <c r="E15" s="20">
        <f>E13*E14</f>
        <v>4337867869.471026</v>
      </c>
      <c r="F15" s="20">
        <f>F13*F14</f>
        <v>4916448679.27152</v>
      </c>
      <c r="G15" s="20">
        <f>G13*G14</f>
        <v>5428502864.089742</v>
      </c>
      <c r="H15" s="20">
        <f>H13*H14</f>
        <v>5841718407.224402</v>
      </c>
      <c r="I15" s="20">
        <f>I13*I14</f>
        <v>6128226699.34651</v>
      </c>
      <c r="J15" s="20">
        <f>J13*J14</f>
        <v>6267636959.748275</v>
      </c>
      <c r="K15" s="20">
        <f>K13*K14</f>
        <v>6249421467.076583</v>
      </c>
    </row>
    <row r="17" spans="1:2" x14ac:dyDescent="0.25">
      <c r="A17" s="22" t="s">
        <v>59</v>
      </c>
      <c r="B17" s="23">
        <f>SUM(B15:K15)</f>
        <v>48811232390.04149</v>
      </c>
    </row>
    <row r="19" spans="1:11" x14ac:dyDescent="0.25">
      <c r="A19" t="s">
        <v>7</v>
      </c>
      <c r="B19" s="9">
        <f>Assumptions!$B$10+($B$20-Assumptions!$B$10)*0/9</f>
        <v>0.18141197863322045</v>
      </c>
      <c r="C19" s="9">
        <f>Assumptions!$B$10+($B$20-Assumptions!$B$10)*1/9</f>
        <v>0.1741593673157927</v>
      </c>
      <c r="D19" s="9">
        <f>Assumptions!$B$10+($B$20-Assumptions!$B$10)*2/9</f>
        <v>0.16690675599836496</v>
      </c>
      <c r="E19" s="9">
        <f>Assumptions!$B$10+($B$20-Assumptions!$B$10)*3/9</f>
        <v>0.15965414468093722</v>
      </c>
      <c r="F19" s="9">
        <f>Assumptions!$B$10+($B$20-Assumptions!$B$10)*4/9</f>
        <v>0.15240153336350948</v>
      </c>
      <c r="G19" s="9">
        <f>Assumptions!$B$10+($B$20-Assumptions!$B$10)*5/9</f>
        <v>0.14514892204608174</v>
      </c>
      <c r="H19" s="9">
        <f>Assumptions!$B$10+($B$20-Assumptions!$B$10)*6/9</f>
        <v>0.137896310728654</v>
      </c>
      <c r="I19" s="9">
        <f>Assumptions!$B$10+($B$20-Assumptions!$B$10)*7/9</f>
        <v>0.13064369941122625</v>
      </c>
      <c r="J19" s="9">
        <f>Assumptions!$B$10+($B$20-Assumptions!$B$10)*8/9</f>
        <v>0.1233910880937985</v>
      </c>
      <c r="K19" s="9">
        <f>Assumptions!$B$10+($B$20-Assumptions!$B$10)*9/9</f>
        <v>0.11613847677637076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0.11613847677637076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14883623714.256002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17494088633.12646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0.12731959215681377</v>
      </c>
    </row>
    <row r="7" spans="1:2" x14ac:dyDescent="0.25">
      <c r="A7" t="s">
        <v>66</v>
      </c>
      <c r="B7" s="18">
        <f>-MAX(B5,0)*B6</f>
        <v>-2227340229.924813</v>
      </c>
    </row>
    <row r="8" spans="1:2" x14ac:dyDescent="0.25">
      <c r="A8" t="s">
        <v>67</v>
      </c>
      <c r="B8" s="18">
        <f>IF(OR(Assumptions!$B$33=0,Assumptions!B12&lt;=0),B5,MAX(B5+B7,0))</f>
        <v>15266748403.201649</v>
      </c>
    </row>
    <row r="9" spans="1:2" x14ac:dyDescent="0.25">
      <c r="A9" t="s">
        <v>68</v>
      </c>
      <c r="B9" s="18">
        <f>B8*(1+Assumptions!B12)/(Assumptions!B26-Assumptions!B12)</f>
        <v>221503461988.99554</v>
      </c>
    </row>
    <row r="10" spans="1:2" x14ac:dyDescent="0.25">
      <c r="A10" t="s">
        <v>69</v>
      </c>
      <c r="B10" s="18">
        <f>B9/(1+Assumptions!B26)^(10-0.5*Assumptions!B32)</f>
        <v>93006146685.89845</v>
      </c>
    </row>
    <row r="11" spans="1:2" x14ac:dyDescent="0.25">
      <c r="A11" t="s">
        <v>70</v>
      </c>
      <c r="B11" s="18">
        <f>Forecast!B17+B10</f>
        <v>141817379075.93994</v>
      </c>
    </row>
    <row r="12" spans="1:2" x14ac:dyDescent="0.25">
      <c r="A12" t="s">
        <v>71</v>
      </c>
      <c r="B12" s="18">
        <f>-Assumptions!B30</f>
        <v>-6668000000</v>
      </c>
    </row>
    <row r="13" spans="1:2" x14ac:dyDescent="0.25">
      <c r="A13" t="s">
        <v>72</v>
      </c>
      <c r="B13" s="18">
        <f>B11+B12</f>
        <v>135149379075.93994</v>
      </c>
    </row>
    <row r="14" spans="1:2" x14ac:dyDescent="0.25">
      <c r="A14" s="19" t="s">
        <v>73</v>
      </c>
      <c r="B14" s="24">
        <f>B13/Assumptions!B31</f>
        <v>93.65861335823973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29254726520.41832</v>
      </c>
    </row>
    <row r="18" spans="1:2" x14ac:dyDescent="0.25">
      <c r="A18" t="s">
        <v>68</v>
      </c>
      <c r="B18" s="18">
        <f>B17*Assumptions!B13</f>
        <v>328711132600.88245</v>
      </c>
    </row>
    <row r="19" spans="1:2" x14ac:dyDescent="0.25">
      <c r="A19" t="s">
        <v>69</v>
      </c>
      <c r="B19" s="18">
        <f>B18/(1+Assumptions!B26)^(10-0.5*Assumptions!B32)</f>
        <v>138021119586.31302</v>
      </c>
    </row>
    <row r="20" spans="1:2" x14ac:dyDescent="0.25">
      <c r="A20" t="s">
        <v>70</v>
      </c>
      <c r="B20" s="18">
        <f>Forecast!B17+B19</f>
        <v>186832351976.3545</v>
      </c>
    </row>
    <row r="21" spans="1:2" x14ac:dyDescent="0.25">
      <c r="A21" t="s">
        <v>71</v>
      </c>
      <c r="B21" s="18">
        <f>-Assumptions!B30</f>
        <v>-6668000000</v>
      </c>
    </row>
    <row r="22" spans="1:2" x14ac:dyDescent="0.25">
      <c r="A22" t="s">
        <v>72</v>
      </c>
      <c r="B22" s="18">
        <f>B20+B21</f>
        <v>180164351976.3545</v>
      </c>
    </row>
    <row r="23" spans="1:2" x14ac:dyDescent="0.25">
      <c r="A23" s="19" t="s">
        <v>73</v>
      </c>
      <c r="B23" s="25">
        <f>B22/Assumptions!B31</f>
        <v>124.85402077363443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63.79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93.65861335823973</v>
      </c>
    </row>
    <row r="29" spans="1:2" x14ac:dyDescent="0.25">
      <c r="A29" s="19" t="s">
        <v>81</v>
      </c>
      <c r="B29" s="11">
        <f>B28/B26-1</f>
        <v>0.46823347481172184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0.075646</v>
      </c>
      <c r="B5" s="31">
        <v>128.33894833847108</v>
      </c>
      <c r="C5" s="31">
        <v>133.63937407301893</v>
      </c>
      <c r="D5" s="31">
        <v>140.11286881764093</v>
      </c>
      <c r="E5" s="31">
        <v>148.14492166560078</v>
      </c>
      <c r="F5" s="31">
        <v>158.31070290548934</v>
      </c>
    </row>
    <row r="6" spans="1:6" x14ac:dyDescent="0.25">
      <c r="A6" s="30">
        <v>0.085646</v>
      </c>
      <c r="B6" s="31">
        <v>106.22719617024816</v>
      </c>
      <c r="C6" s="31">
        <v>109.28759716738516</v>
      </c>
      <c r="D6" s="31">
        <v>112.95235037006694</v>
      </c>
      <c r="E6" s="31">
        <v>117.38436565650892</v>
      </c>
      <c r="F6" s="31">
        <v>122.81088567679996</v>
      </c>
    </row>
    <row r="7" spans="1:6" x14ac:dyDescent="0.25">
      <c r="A7" s="30">
        <v>0.095646</v>
      </c>
      <c r="B7" s="31">
        <v>89.7808858337734</v>
      </c>
      <c r="C7" s="31">
        <v>91.55412438765988</v>
      </c>
      <c r="D7" s="32">
        <v>93.65923478900639</v>
      </c>
      <c r="E7" s="31">
        <v>96.17204919379958</v>
      </c>
      <c r="F7" s="31">
        <v>99.19340788914334</v>
      </c>
    </row>
    <row r="8" spans="1:6" x14ac:dyDescent="0.25">
      <c r="A8" s="30">
        <v>0.105646</v>
      </c>
      <c r="B8" s="31">
        <v>77.1128822225728</v>
      </c>
      <c r="C8" s="31">
        <v>78.10881462614586</v>
      </c>
      <c r="D8" s="31">
        <v>79.2952190880076</v>
      </c>
      <c r="E8" s="31">
        <v>80.70986470202062</v>
      </c>
      <c r="F8" s="31">
        <v>82.40121305528496</v>
      </c>
    </row>
    <row r="9" spans="1:6" x14ac:dyDescent="0.25">
      <c r="A9" s="30">
        <v>0.115646</v>
      </c>
      <c r="B9" s="31">
        <v>67.08700262175611</v>
      </c>
      <c r="C9" s="31">
        <v>67.59693237889702</v>
      </c>
      <c r="D9" s="31">
        <v>68.21950210792542</v>
      </c>
      <c r="E9" s="31">
        <v>68.97443952033181</v>
      </c>
      <c r="F9" s="31">
        <v>69.88636474917506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25915000000</v>
      </c>
      <c r="C5" s="18">
        <v>25455000000</v>
      </c>
      <c r="D5" s="18">
        <v>22855000000</v>
      </c>
      <c r="E5" s="18">
        <v>22780000000</v>
      </c>
      <c r="F5" s="6" t="s">
        <v>91</v>
      </c>
    </row>
    <row r="6" spans="1:6" x14ac:dyDescent="0.25">
      <c r="A6" t="s">
        <v>51</v>
      </c>
      <c r="B6" s="18">
        <v>6502000000</v>
      </c>
      <c r="C6" s="18">
        <v>6864000000</v>
      </c>
      <c r="D6" s="18">
        <v>6225000000</v>
      </c>
      <c r="E6" s="18">
        <v>7034000000</v>
      </c>
      <c r="F6" s="6" t="s">
        <v>92</v>
      </c>
    </row>
    <row r="7" spans="1:6" x14ac:dyDescent="0.25">
      <c r="A7" t="s">
        <v>93</v>
      </c>
      <c r="B7" s="18">
        <v>2244000000</v>
      </c>
      <c r="C7" s="18">
        <v>2241000000</v>
      </c>
      <c r="D7" s="18">
        <v>2068000000</v>
      </c>
      <c r="E7" s="18">
        <v>2019000000</v>
      </c>
      <c r="F7" s="6" t="s">
        <v>94</v>
      </c>
    </row>
    <row r="8" spans="1:6" x14ac:dyDescent="0.25">
      <c r="A8" t="s">
        <v>95</v>
      </c>
      <c r="B8" s="18">
        <v>4494000000</v>
      </c>
      <c r="C8" s="18">
        <v>4808000000</v>
      </c>
      <c r="D8" s="18">
        <v>4824000000</v>
      </c>
      <c r="E8" s="18">
        <v>3469000000</v>
      </c>
      <c r="F8" s="6" t="s">
        <v>96</v>
      </c>
    </row>
    <row r="9" spans="1:6" x14ac:dyDescent="0.25">
      <c r="A9" t="s">
        <v>97</v>
      </c>
      <c r="B9" s="18">
        <v>1338000000</v>
      </c>
      <c r="C9" s="18">
        <v>29000000</v>
      </c>
      <c r="D9" s="18">
        <v>880000000</v>
      </c>
      <c r="E9" s="18">
        <v>1601000000</v>
      </c>
      <c r="F9" s="6" t="s">
        <v>98</v>
      </c>
    </row>
    <row r="10" spans="1:6" x14ac:dyDescent="0.25">
      <c r="A10" t="s">
        <v>99</v>
      </c>
      <c r="B10" s="18">
        <v>10492000000</v>
      </c>
      <c r="C10" s="18">
        <v>9738000000</v>
      </c>
      <c r="D10" s="18">
        <v>9853000000</v>
      </c>
      <c r="E10" s="18">
        <v>10952000000</v>
      </c>
      <c r="F10" s="6" t="s">
        <v>100</v>
      </c>
    </row>
    <row r="11" spans="1:6" x14ac:dyDescent="0.25">
      <c r="A11" t="s">
        <v>101</v>
      </c>
      <c r="B11" s="18">
        <v>3824000000</v>
      </c>
      <c r="C11" s="18">
        <v>3923000000</v>
      </c>
      <c r="D11" s="18">
        <v>4758000000</v>
      </c>
      <c r="E11" s="18">
        <v>8146000000</v>
      </c>
      <c r="F11" s="6" t="s">
        <v>102</v>
      </c>
    </row>
    <row r="12" spans="1:6" x14ac:dyDescent="0.25">
      <c r="A12" t="s">
        <v>34</v>
      </c>
      <c r="B12" s="34">
        <v>1443000000</v>
      </c>
      <c r="C12" s="34">
        <v>1445000000</v>
      </c>
      <c r="D12" s="34">
        <v>1443000000</v>
      </c>
      <c r="E12" s="34">
        <v>1451000000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