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Assumptions" state="visible" r:id="rId4"/>
    <sheet sheetId="2" name="Forecast" state="visible" r:id="rId5"/>
    <sheet sheetId="3" name="Valuation" state="visible" r:id="rId6"/>
    <sheet sheetId="4" name="Sensitivity" state="visible" r:id="rId7"/>
    <sheet sheetId="5" name="Source data" state="visible" r:id="rId8"/>
  </sheets>
  <calcPr calcId="171027" fullCalcOnLoad="1"/>
</workbook>
</file>

<file path=xl/sharedStrings.xml><?xml version="1.0" encoding="utf-8"?>
<sst xmlns="http://schemas.openxmlformats.org/spreadsheetml/2006/main" count="112" uniqueCount="100">
  <si>
    <t>Freeport-McMoRan Inc. (FCX)</t>
  </si>
  <si>
    <t>DCF Studio - Base case</t>
  </si>
  <si>
    <t>Blue figures on a cream fill are inputs. Every other figure is a formula - change an input and the model reprices. Currency figures are USD millions unless the row says otherwise.</t>
  </si>
  <si>
    <t>Drivers</t>
  </si>
  <si>
    <t>Revenue growth</t>
  </si>
  <si>
    <t>EBIT margin</t>
  </si>
  <si>
    <t>Tax rate</t>
  </si>
  <si>
    <t>Depreciation &amp; amortisation, % of revenue</t>
  </si>
  <si>
    <t>Capital expenditure, % of revenue</t>
  </si>
  <si>
    <t>Change in working capital, % of revenue growth</t>
  </si>
  <si>
    <t>Terminal growth</t>
  </si>
  <si>
    <t>Exit EV/EBITDA</t>
  </si>
  <si>
    <t>Terminal ROIC</t>
  </si>
  <si>
    <t>From reported invested capital</t>
  </si>
  <si>
    <t>Discount rate</t>
  </si>
  <si>
    <t>Risk-free rate</t>
  </si>
  <si>
    <t>US 10-year Treasury (^TNX)</t>
  </si>
  <si>
    <t>Equity risk premium</t>
  </si>
  <si>
    <t>Beta</t>
  </si>
  <si>
    <t>As reported</t>
  </si>
  <si>
    <t>Cost of equity</t>
  </si>
  <si>
    <t>Cost of debt</t>
  </si>
  <si>
    <t>Floored at the risk-free rate (implied cost of debt was lower)</t>
  </si>
  <si>
    <t>Market capitalisation (USD m)</t>
  </si>
  <si>
    <t>Total debt (USD m)</t>
  </si>
  <si>
    <t>Equity weight</t>
  </si>
  <si>
    <t>Debt weight</t>
  </si>
  <si>
    <t>WACC</t>
  </si>
  <si>
    <t>Base year</t>
  </si>
  <si>
    <t>Revenue, last reported year (USD m)</t>
  </si>
  <si>
    <t>Fiscal year ended 2025-12-31</t>
  </si>
  <si>
    <t>Net debt (USD m)</t>
  </si>
  <si>
    <t>Diluted shares</t>
  </si>
  <si>
    <t>Mid-year discounting (1 = yes, 0 = no)</t>
  </si>
  <si>
    <t>Terminal year on a steady-state footing (1 = yes, 0 = no)</t>
  </si>
  <si>
    <t>Forecast cashflows (USD m)</t>
  </si>
  <si>
    <t>Every figure below is a formula. Edit the drivers on Assumptions.</t>
  </si>
  <si>
    <t>Year</t>
  </si>
  <si>
    <t>FY26</t>
  </si>
  <si>
    <t>FY27</t>
  </si>
  <si>
    <t>FY28</t>
  </si>
  <si>
    <t>FY29</t>
  </si>
  <si>
    <t>FY30</t>
  </si>
  <si>
    <t>Revenue</t>
  </si>
  <si>
    <t>EBIT</t>
  </si>
  <si>
    <t>NOPAT</t>
  </si>
  <si>
    <t>Add depreciation &amp; amortisation</t>
  </si>
  <si>
    <t>Less capital expenditure</t>
  </si>
  <si>
    <t>Less increase in working capital</t>
  </si>
  <si>
    <t>Free cashflow to firm</t>
  </si>
  <si>
    <t>Discount factor</t>
  </si>
  <si>
    <t>Present value</t>
  </si>
  <si>
    <t>Present value of the explicit forecast</t>
  </si>
  <si>
    <t>Valuation (USD m, except per share)</t>
  </si>
  <si>
    <t>Terminal value - perpetuity growth</t>
  </si>
  <si>
    <t>Final year free cashflow</t>
  </si>
  <si>
    <t>Net operating profit after tax (capex at depreciation)</t>
  </si>
  <si>
    <t>Reinvestment rate (g / ROIC)</t>
  </si>
  <si>
    <t>Less reinvestment to fund terminal growth</t>
  </si>
  <si>
    <t>Cashflow capitalised</t>
  </si>
  <si>
    <t>Terminal value, undiscounted</t>
  </si>
  <si>
    <t>Terminal value, discounted</t>
  </si>
  <si>
    <t>Enterprise value</t>
  </si>
  <si>
    <t>Less net debt</t>
  </si>
  <si>
    <t>Equity value</t>
  </si>
  <si>
    <t>Value per share</t>
  </si>
  <si>
    <t>Terminal value - exit multiple</t>
  </si>
  <si>
    <t>Final year EBITDA</t>
  </si>
  <si>
    <t>Against the market</t>
  </si>
  <si>
    <t>Market price (USD)</t>
  </si>
  <si>
    <t>Conversion, USD to USD</t>
  </si>
  <si>
    <t>Same currency, no conversion</t>
  </si>
  <si>
    <t>Value per share (USD)</t>
  </si>
  <si>
    <t>Implied upside</t>
  </si>
  <si>
    <t>Value per share (USD) by WACC and terminal growth</t>
  </si>
  <si>
    <t>WACC down the side, terminal growth across the top. Static grid: computed by DCF Studio, not linked to the sheets above. A live data table needs Excel to build it (Data &gt; What-If &gt; Data Table).</t>
  </si>
  <si>
    <t>Reported history and provenance (USD m, except shares)</t>
  </si>
  <si>
    <t>What the model was built from. "derived" means the figure was not reported and was computed - the note says how.</t>
  </si>
  <si>
    <t>Fiscal year end</t>
  </si>
  <si>
    <t>2025-12-31</t>
  </si>
  <si>
    <t>2024-12-31</t>
  </si>
  <si>
    <t>2023-12-31</t>
  </si>
  <si>
    <t>2022-12-31</t>
  </si>
  <si>
    <t>Yahoo field, latest year</t>
  </si>
  <si>
    <t>totalRevenue</t>
  </si>
  <si>
    <t>operatingIncome</t>
  </si>
  <si>
    <t>Depreciation &amp; amortisation</t>
  </si>
  <si>
    <t>reconciledDepreciation</t>
  </si>
  <si>
    <t>Capital expenditure</t>
  </si>
  <si>
    <t>capitalExpenditure</t>
  </si>
  <si>
    <t>Change in working capital</t>
  </si>
  <si>
    <t>changeInWorkingCapital</t>
  </si>
  <si>
    <t>Total debt</t>
  </si>
  <si>
    <t>totalDebt</t>
  </si>
  <si>
    <t>Cash and equivalents</t>
  </si>
  <si>
    <t>cashCashEquivalentsAndShortTermInvestments</t>
  </si>
  <si>
    <t>dilutedAverageShares</t>
  </si>
  <si>
    <t>Model notes</t>
  </si>
  <si>
    <t>Adjusted: Capital expenditure runs at 18.1% of revenue against depreciation of 8.8%. A perpetuity has to be a steady state, so the terminal year uses maintenance capex at depreciation and then charges the reinvestment terminal growth requires (g/ROIC of NOPAT). The bridge is shown under Terminal Value.</t>
  </si>
  <si>
    <t>Data: Yahoo Finance. Risk-free rate: US 10-year Treasury (^TNX). General information, not advice.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</si>
</sst>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164" formatCode="0.0&quot;x&quot;"/>
    <numFmt numFmtId="165" formatCode="0.000"/>
    <numFmt numFmtId="166" formatCode="#,##0.0,,;[Red](#,##0.0,,)"/>
    <numFmt numFmtId="167" formatCode="0.0000"/>
    <numFmt numFmtId="168" formatCode="#,##0.00;[Red](#,##0.00)"/>
  </numFmts>
  <fonts count="10" x14ac:knownFonts="1">
    <font>
      <color theme="1"/>
      <family val="2"/>
      <scheme val="minor"/>
      <sz val="11"/>
      <name val="Calibri"/>
    </font>
    <font>
      <b/>
      <sz val="14"/>
    </font>
    <font>
      <color rgb="FF666666"/>
    </font>
    <font>
      <i/>
      <color rgb="FF666666"/>
      <sz val="9"/>
    </font>
    <font>
      <b/>
      <sz val="11"/>
    </font>
    <font>
      <color rgb="FF0000CC"/>
    </font>
    <font>
      <color rgb="FF666666"/>
      <sz val="9"/>
    </font>
    <font>
      <b/>
    </font>
    <font>
      <b/>
      <sz val="12"/>
    </font>
    <font>
      <b/>
      <sz val="9"/>
    </font>
  </fonts>
  <fills count="3">
    <fill>
      <patternFill patternType="none"/>
    </fill>
    <fill>
      <patternFill patternType="gray125"/>
    </fill>
    <fill>
      <patternFill patternType="solid">
        <fgColor rgb="FFFDF6E3"/>
      </patternFill>
    </fill>
  </fills>
  <borders count="6">
    <border>
      <left/>
      <right/>
      <top/>
      <bottom/>
      <diagonal/>
    </border>
    <border>
      <left/>
      <right/>
      <top/>
      <bottom style="thin"/>
      <diagonal/>
    </border>
    <border>
      <left/>
      <right/>
      <top style="thin"/>
      <bottom/>
      <diagonal/>
    </border>
    <border>
      <left/>
      <right/>
      <top style="thin"/>
      <bottom style="double"/>
      <diagonal/>
    </border>
    <border>
      <left/>
      <right style="thin"/>
      <top/>
      <bottom/>
      <diagonal/>
    </border>
    <border>
      <left style="medium"/>
      <right style="medium"/>
      <top style="medium"/>
      <bottom style="medium"/>
      <diagonal/>
    </border>
  </borders>
  <cellStyleXfs count="1">
    <xf numFmtId="0" fontId="0" fillId="0" borderId="0"/>
  </cellStyleXfs>
  <cellXfs count="37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0" borderId="1" xfId="0" applyFont="1" applyBorder="1"/>
    <xf numFmtId="0" fontId="0" fillId="0" borderId="1" xfId="0" applyBorder="1"/>
    <xf numFmtId="10" fontId="5" fillId="2" borderId="0" xfId="0" applyNumberFormat="1" applyFont="1" applyFill="1"/>
    <xf numFmtId="164" fontId="5" fillId="2" borderId="0" xfId="0" applyNumberFormat="1" applyFont="1" applyFill="1"/>
    <xf numFmtId="0" fontId="6" fillId="0" borderId="0" xfId="0" applyFont="1" applyAlignment="1">
      <alignment indent="1"/>
    </xf>
    <xf numFmtId="165" fontId="5" fillId="2" borderId="0" xfId="0" applyNumberFormat="1" applyFont="1" applyFill="1"/>
    <xf numFmtId="10" fontId="0" fillId="0" borderId="0" xfId="0" applyNumberFormat="1"/>
    <xf numFmtId="166" fontId="5" fillId="2" borderId="0" xfId="0" applyNumberFormat="1" applyFont="1" applyFill="1"/>
    <xf numFmtId="10" fontId="7" fillId="0" borderId="0" xfId="0" applyNumberFormat="1" applyFont="1"/>
    <xf numFmtId="3" fontId="5" fillId="2" borderId="0" xfId="0" applyNumberFormat="1" applyFont="1" applyFill="1"/>
    <xf numFmtId="1" fontId="5" fillId="2" borderId="0" xfId="0" applyNumberFormat="1" applyFont="1" applyFill="1"/>
    <xf numFmtId="0" fontId="8" fillId="0" borderId="0" xfId="0" applyFont="1"/>
    <xf numFmtId="0" fontId="7" fillId="0" borderId="1" xfId="0" applyFont="1" applyBorder="1"/>
    <xf numFmtId="0" fontId="7" fillId="0" borderId="1" xfId="0" applyFont="1" applyBorder="1" applyAlignment="1">
      <alignment horizontal="right"/>
    </xf>
    <xf numFmtId="166" fontId="0" fillId="0" borderId="0" xfId="0" applyNumberFormat="1"/>
    <xf numFmtId="0" fontId="7" fillId="0" borderId="0" xfId="0" applyFont="1"/>
    <xf numFmtId="166" fontId="7" fillId="0" borderId="0" xfId="0" applyNumberFormat="1" applyFont="1"/>
    <xf numFmtId="167" fontId="0" fillId="0" borderId="0" xfId="0" applyNumberFormat="1"/>
    <xf numFmtId="0" fontId="7" fillId="0" borderId="2" xfId="0" applyFont="1" applyBorder="1"/>
    <xf numFmtId="166" fontId="7" fillId="0" borderId="3" xfId="0" applyNumberFormat="1" applyFont="1" applyBorder="1"/>
    <xf numFmtId="168" fontId="8" fillId="0" borderId="0" xfId="0" applyNumberFormat="1" applyFont="1"/>
    <xf numFmtId="168" fontId="7" fillId="0" borderId="0" xfId="0" applyNumberFormat="1" applyFont="1"/>
    <xf numFmtId="168" fontId="5" fillId="2" borderId="0" xfId="0" applyNumberFormat="1" applyFont="1" applyFill="1"/>
    <xf numFmtId="167" fontId="5" fillId="2" borderId="0" xfId="0" applyNumberFormat="1" applyFont="1" applyFill="1"/>
    <xf numFmtId="168" fontId="0" fillId="0" borderId="0" xfId="0" applyNumberFormat="1"/>
    <xf numFmtId="10" fontId="7" fillId="0" borderId="1" xfId="0" applyNumberFormat="1" applyFont="1" applyBorder="1" applyAlignment="1">
      <alignment horizontal="right"/>
    </xf>
    <xf numFmtId="10" fontId="7" fillId="0" borderId="4" xfId="0" applyNumberFormat="1" applyFont="1" applyBorder="1"/>
    <xf numFmtId="168" fontId="0" fillId="0" borderId="0" xfId="0" applyNumberFormat="1" applyAlignment="1">
      <alignment horizontal="right"/>
    </xf>
    <xf numFmtId="168" fontId="7" fillId="0" borderId="5" xfId="0" applyNumberFormat="1" applyFont="1" applyBorder="1" applyAlignment="1">
      <alignment horizontal="right"/>
    </xf>
    <xf numFmtId="0" fontId="9" fillId="0" borderId="1" xfId="0" applyFont="1" applyBorder="1" applyAlignment="1">
      <alignment indent="1"/>
    </xf>
    <xf numFmtId="3" fontId="0" fillId="0" borderId="0" xfId="0" applyNumberFormat="1"/>
    <xf numFmtId="0" fontId="0" fillId="0" borderId="0" xfId="0" applyAlignment="1">
      <alignment vertical="top" wrapText="1"/>
    </xf>
    <xf numFmtId="0" fontId="6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3"/>
  <sheetViews>
    <sheetView workbookViewId="0" showGridLines="0"/>
  </sheetViews>
  <sheetFormatPr defaultRowHeight="15" outlineLevelRow="0" outlineLevelCol="0" x14ac:dyDescent="55"/>
  <cols>
    <col min="1" max="1" width="40" customWidth="1"/>
    <col min="2" max="2" width="16" customWidth="1"/>
    <col min="3" max="3" width="52" customWidth="1"/>
  </cols>
  <sheetData>
    <row r="1" spans="1:1" x14ac:dyDescent="0.25">
      <c r="A1" s="1" t="s">
        <v>0</v>
      </c>
    </row>
    <row r="2" spans="1:1" x14ac:dyDescent="0.25">
      <c r="A2" s="2" t="s">
        <v>1</v>
      </c>
    </row>
    <row r="3" spans="1:1" x14ac:dyDescent="0.25">
      <c r="A3" s="3" t="s">
        <v>2</v>
      </c>
    </row>
    <row r="5" spans="1:3" x14ac:dyDescent="0.25">
      <c r="A5" s="4" t="s">
        <v>3</v>
      </c>
      <c r="B5" s="5"/>
      <c r="C5" s="5"/>
    </row>
    <row r="6" spans="1:2" x14ac:dyDescent="0.25">
      <c r="A6" t="s">
        <v>4</v>
      </c>
      <c r="B6" s="6">
        <v>0.04391666611007472</v>
      </c>
    </row>
    <row r="7" spans="1:2" x14ac:dyDescent="0.25">
      <c r="A7" t="s">
        <v>5</v>
      </c>
      <c r="B7" s="6">
        <v>0.2754246018294183</v>
      </c>
    </row>
    <row r="8" spans="1:2" x14ac:dyDescent="0.25">
      <c r="A8" t="s">
        <v>6</v>
      </c>
      <c r="B8" s="6">
        <v>0.21</v>
      </c>
    </row>
    <row r="9" spans="1:2" x14ac:dyDescent="0.25">
      <c r="A9" t="s">
        <v>7</v>
      </c>
      <c r="B9" s="6">
        <v>0.08843558787622001</v>
      </c>
    </row>
    <row r="10" spans="1:2" x14ac:dyDescent="0.25">
      <c r="A10" t="s">
        <v>8</v>
      </c>
      <c r="B10" s="6">
        <v>0.18141197863322045</v>
      </c>
    </row>
    <row r="11" spans="1:2" x14ac:dyDescent="0.25">
      <c r="A11" t="s">
        <v>9</v>
      </c>
      <c r="B11" s="6">
        <v>1</v>
      </c>
    </row>
    <row r="12" spans="1:2" x14ac:dyDescent="0.25">
      <c r="A12" t="s">
        <v>10</v>
      </c>
      <c r="B12" s="6">
        <v>0.025</v>
      </c>
    </row>
    <row r="13" spans="1:2" x14ac:dyDescent="0.25">
      <c r="A13" t="s">
        <v>11</v>
      </c>
      <c r="B13" s="7">
        <v>12.508654642579465</v>
      </c>
    </row>
    <row r="14" spans="1:3" x14ac:dyDescent="0.25">
      <c r="A14" t="s">
        <v>12</v>
      </c>
      <c r="B14" s="6">
        <v>0.1963562683205004</v>
      </c>
      <c r="C14" s="8" t="s">
        <v>13</v>
      </c>
    </row>
    <row r="16" spans="1:3" x14ac:dyDescent="0.25">
      <c r="A16" s="4" t="s">
        <v>14</v>
      </c>
      <c r="B16" s="5"/>
      <c r="C16" s="5"/>
    </row>
    <row r="17" spans="1:3" x14ac:dyDescent="0.25">
      <c r="A17" t="s">
        <v>15</v>
      </c>
      <c r="B17" s="6">
        <v>0.049980000000000004</v>
      </c>
      <c r="C17" s="8" t="s">
        <v>16</v>
      </c>
    </row>
    <row r="18" spans="1:2" x14ac:dyDescent="0.25">
      <c r="A18" t="s">
        <v>17</v>
      </c>
      <c r="B18" s="6">
        <v>0.055</v>
      </c>
    </row>
    <row r="19" spans="1:3" x14ac:dyDescent="0.25">
      <c r="A19" t="s">
        <v>18</v>
      </c>
      <c r="B19" s="9">
        <v>1.2686700000000002</v>
      </c>
      <c r="C19" s="8" t="s">
        <v>19</v>
      </c>
    </row>
    <row r="20" spans="1:2" x14ac:dyDescent="0.25">
      <c r="A20" t="s">
        <v>20</v>
      </c>
      <c r="B20" s="10">
        <f>B17+B19*B18</f>
        <v>0.11975685000000003</v>
      </c>
    </row>
    <row r="21" spans="1:3" x14ac:dyDescent="0.25">
      <c r="A21" t="s">
        <v>21</v>
      </c>
      <c r="B21" s="6">
        <v>0.049980000000000004</v>
      </c>
      <c r="C21" s="8" t="s">
        <v>22</v>
      </c>
    </row>
    <row r="22" spans="1:2" x14ac:dyDescent="0.25">
      <c r="A22" t="s">
        <v>23</v>
      </c>
      <c r="B22" s="11">
        <v>102732693504</v>
      </c>
    </row>
    <row r="23" spans="1:2" x14ac:dyDescent="0.25">
      <c r="A23" t="s">
        <v>24</v>
      </c>
      <c r="B23" s="11">
        <v>10492000000</v>
      </c>
    </row>
    <row r="24" spans="1:2" x14ac:dyDescent="0.25">
      <c r="A24" t="s">
        <v>25</v>
      </c>
      <c r="B24" s="10">
        <f>B22/(B22+B23)</f>
        <v>0.9073347016865244</v>
      </c>
    </row>
    <row r="25" spans="1:2" x14ac:dyDescent="0.25">
      <c r="A25" t="s">
        <v>26</v>
      </c>
      <c r="B25" s="10">
        <f>1-B24</f>
        <v>0.09266529831347559</v>
      </c>
    </row>
    <row r="26" spans="1:2" x14ac:dyDescent="0.25">
      <c r="A26" t="s">
        <v>27</v>
      </c>
      <c r="B26" s="12">
        <f>B24*B20+B25*B21*(1-B8)</f>
        <v>0.11231836094133682</v>
      </c>
    </row>
    <row r="28" spans="1:3" x14ac:dyDescent="0.25">
      <c r="A28" s="4" t="s">
        <v>28</v>
      </c>
      <c r="B28" s="5"/>
      <c r="C28" s="5"/>
    </row>
    <row r="29" spans="1:3" x14ac:dyDescent="0.25">
      <c r="A29" t="s">
        <v>29</v>
      </c>
      <c r="B29" s="11">
        <v>25915000000</v>
      </c>
      <c r="C29" s="8" t="s">
        <v>30</v>
      </c>
    </row>
    <row r="30" spans="1:2" x14ac:dyDescent="0.25">
      <c r="A30" t="s">
        <v>31</v>
      </c>
      <c r="B30" s="11">
        <v>6668000000</v>
      </c>
    </row>
    <row r="31" spans="1:2" x14ac:dyDescent="0.25">
      <c r="A31" t="s">
        <v>32</v>
      </c>
      <c r="B31" s="13">
        <v>1443000000</v>
      </c>
    </row>
    <row r="32" spans="1:2" x14ac:dyDescent="0.25">
      <c r="A32" t="s">
        <v>33</v>
      </c>
      <c r="B32" s="14">
        <v>1</v>
      </c>
    </row>
    <row r="33" spans="1:2" x14ac:dyDescent="0.25">
      <c r="A33" t="s">
        <v>34</v>
      </c>
      <c r="B33" s="14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7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42" customWidth="1"/>
    <col min="2" max="6" width="15" customWidth="1"/>
  </cols>
  <sheetData>
    <row r="1" spans="1:1" x14ac:dyDescent="0.25">
      <c r="A1" s="15" t="s">
        <v>35</v>
      </c>
    </row>
    <row r="2" spans="1:1" x14ac:dyDescent="0.25">
      <c r="A2" s="3" t="s">
        <v>36</v>
      </c>
    </row>
    <row r="4" spans="1:6" x14ac:dyDescent="0.25">
      <c r="A4" s="16" t="s">
        <v>37</v>
      </c>
      <c r="B4" s="17" t="s">
        <v>38</v>
      </c>
      <c r="C4" s="17" t="s">
        <v>39</v>
      </c>
      <c r="D4" s="17" t="s">
        <v>40</v>
      </c>
      <c r="E4" s="17" t="s">
        <v>41</v>
      </c>
      <c r="F4" s="17" t="s">
        <v>42</v>
      </c>
    </row>
    <row r="5" spans="1:6" x14ac:dyDescent="0.25">
      <c r="A5" t="s">
        <v>4</v>
      </c>
      <c r="B5" s="10">
        <f>Assumptions!B6</f>
        <v>0.04391666611007472</v>
      </c>
      <c r="C5" s="10">
        <f>Assumptions!B6</f>
        <v>0.04391666611007472</v>
      </c>
      <c r="D5" s="10">
        <f>Assumptions!B6</f>
        <v>0.04391666611007472</v>
      </c>
      <c r="E5" s="10">
        <f>Assumptions!B6</f>
        <v>0.04391666611007472</v>
      </c>
      <c r="F5" s="10">
        <f>Assumptions!B6</f>
        <v>0.04391666611007472</v>
      </c>
    </row>
    <row r="6" spans="1:6" x14ac:dyDescent="0.25">
      <c r="A6" t="s">
        <v>43</v>
      </c>
      <c r="B6" s="18">
        <f>Assumptions!B29*(1+B5)</f>
        <v>27053100402.242588</v>
      </c>
      <c r="C6" s="18">
        <f>B6*(1+C5)</f>
        <v>28241182379.850204</v>
      </c>
      <c r="D6" s="18">
        <f>C6*(1+D5)</f>
        <v>29481440956.979813</v>
      </c>
      <c r="E6" s="18">
        <f>D6*(1+E5)</f>
        <v>30776167555.931377</v>
      </c>
      <c r="F6" s="18">
        <f>E6*(1+F5)</f>
        <v>32127754230.63293</v>
      </c>
    </row>
    <row r="7" spans="1:6" x14ac:dyDescent="0.25">
      <c r="A7" t="s">
        <v>5</v>
      </c>
      <c r="B7" s="10">
        <f>Assumptions!B7</f>
        <v>0.2754246018294183</v>
      </c>
      <c r="C7" s="10">
        <f>Assumptions!B7</f>
        <v>0.2754246018294183</v>
      </c>
      <c r="D7" s="10">
        <f>Assumptions!B7</f>
        <v>0.2754246018294183</v>
      </c>
      <c r="E7" s="10">
        <f>Assumptions!B7</f>
        <v>0.2754246018294183</v>
      </c>
      <c r="F7" s="10">
        <f>Assumptions!B7</f>
        <v>0.2754246018294183</v>
      </c>
    </row>
    <row r="8" spans="1:6" x14ac:dyDescent="0.25">
      <c r="A8" t="s">
        <v>44</v>
      </c>
      <c r="B8" s="18">
        <f>B6*B7</f>
        <v>7451089406.538941</v>
      </c>
      <c r="C8" s="18">
        <f>C6*C7</f>
        <v>7778316412.162227</v>
      </c>
      <c r="D8" s="18">
        <f>D6*D7</f>
        <v>8119914136.93367</v>
      </c>
      <c r="E8" s="18">
        <f>E6*E7</f>
        <v>8476513694.927861</v>
      </c>
      <c r="F8" s="18">
        <f>F6*F7</f>
        <v>8848773916.645485</v>
      </c>
    </row>
    <row r="9" spans="1:6" x14ac:dyDescent="0.25">
      <c r="A9" t="s">
        <v>45</v>
      </c>
      <c r="B9" s="18">
        <f>B8*(1-Assumptions!B8)</f>
        <v>5886360631.165764</v>
      </c>
      <c r="C9" s="18">
        <f>C8*(1-Assumptions!B8)</f>
        <v>6144869965.608159</v>
      </c>
      <c r="D9" s="18">
        <f>D8*(1-Assumptions!B8)</f>
        <v>6414732168.1776</v>
      </c>
      <c r="E9" s="18">
        <f>E8*(1-Assumptions!B8)</f>
        <v>6696445818.9930105</v>
      </c>
      <c r="F9" s="18">
        <f>F8*(1-Assumptions!B8)</f>
        <v>6990531394.149934</v>
      </c>
    </row>
    <row r="10" spans="1:6" x14ac:dyDescent="0.25">
      <c r="A10" t="s">
        <v>46</v>
      </c>
      <c r="B10" s="18">
        <f>B6*Assumptions!B9</f>
        <v>2392456837.9467273</v>
      </c>
      <c r="C10" s="18">
        <f>C6*Assumptions!B9</f>
        <v>2497525566.0815988</v>
      </c>
      <c r="D10" s="18">
        <f>D6*Assumptions!B9</f>
        <v>2607208562.46858</v>
      </c>
      <c r="E10" s="18">
        <f>E6*Assumptions!B9</f>
        <v>2721708470.3858404</v>
      </c>
      <c r="F10" s="18">
        <f>F6*Assumptions!B9</f>
        <v>2841236832.5287375</v>
      </c>
    </row>
    <row r="11" spans="1:6" x14ac:dyDescent="0.25">
      <c r="A11" t="s">
        <v>47</v>
      </c>
      <c r="B11" s="18">
        <f>-B6*Assumptions!B10</f>
        <v>-4907756472.134</v>
      </c>
      <c r="C11" s="18">
        <f>-C6*Assumptions!B10</f>
        <v>-5123288774.470267</v>
      </c>
      <c r="D11" s="18">
        <f>-D6*Assumptions!B10</f>
        <v>-5348286536.964172</v>
      </c>
      <c r="E11" s="18">
        <f>-E6*Assumptions!B10</f>
        <v>-5583165451.069036</v>
      </c>
      <c r="F11" s="18">
        <f>-F6*Assumptions!B10</f>
        <v>-5828359464.020939</v>
      </c>
    </row>
    <row r="12" spans="1:6" x14ac:dyDescent="0.25">
      <c r="A12" t="s">
        <v>48</v>
      </c>
      <c r="B12" s="18">
        <f>-(B6-Assumptions!B29)*Assumptions!B11</f>
        <v>-1138100402.242588</v>
      </c>
      <c r="C12" s="18">
        <f>-(C6-B6)*Assumptions!B11</f>
        <v>-1188081977.6076164</v>
      </c>
      <c r="D12" s="18">
        <f>-(D6-C6)*Assumptions!B11</f>
        <v>-1240258577.1296082</v>
      </c>
      <c r="E12" s="18">
        <f>-(E6-D6)*Assumptions!B11</f>
        <v>-1294726598.9515648</v>
      </c>
      <c r="F12" s="18">
        <f>-(F6-E6)*Assumptions!B11</f>
        <v>-1351586674.7015533</v>
      </c>
    </row>
    <row r="13" spans="1:6" x14ac:dyDescent="0.25">
      <c r="A13" s="19" t="s">
        <v>49</v>
      </c>
      <c r="B13" s="20">
        <f>B9+B10+B11+B12</f>
        <v>2232960594.7359037</v>
      </c>
      <c r="C13" s="20">
        <f>C9+C10+C11+C12</f>
        <v>2331024779.6118746</v>
      </c>
      <c r="D13" s="20">
        <f>D9+D10+D11+D12</f>
        <v>2433395616.5523987</v>
      </c>
      <c r="E13" s="20">
        <f>E9+E10+E11+E12</f>
        <v>2540262239.3582506</v>
      </c>
      <c r="F13" s="20">
        <f>F9+F10+F11+F12</f>
        <v>2651822087.9561787</v>
      </c>
    </row>
    <row r="14" spans="1:6" x14ac:dyDescent="0.25">
      <c r="A14" t="s">
        <v>50</v>
      </c>
      <c r="B14" s="21">
        <f>1/(1+Assumptions!$B$26)^(1-0.5*Assumptions!$B$32)</f>
        <v>0.9481683336660087</v>
      </c>
      <c r="C14" s="21">
        <f>1/(1+Assumptions!$B$26)^(2-0.5*Assumptions!$B$32)</f>
        <v>0.8524253190099186</v>
      </c>
      <c r="D14" s="21">
        <f>1/(1+Assumptions!$B$26)^(3-0.5*Assumptions!$B$32)</f>
        <v>0.7663501286524885</v>
      </c>
      <c r="E14" s="21">
        <f>1/(1+Assumptions!$B$26)^(4-0.5*Assumptions!$B$32)</f>
        <v>0.6889665365264123</v>
      </c>
      <c r="F14" s="21">
        <f>1/(1+Assumptions!$B$26)^(5-0.5*Assumptions!$B$32)</f>
        <v>0.6193968927595075</v>
      </c>
    </row>
    <row r="15" spans="1:6" x14ac:dyDescent="0.25">
      <c r="A15" s="19" t="s">
        <v>51</v>
      </c>
      <c r="B15" s="20">
        <f>B13*B14</f>
        <v>2117222526.2526016</v>
      </c>
      <c r="C15" s="20">
        <f>C13*C14</f>
        <v>1987024541.3806775</v>
      </c>
      <c r="D15" s="20">
        <f>D13*D14</f>
        <v>1864833043.8073323</v>
      </c>
      <c r="E15" s="20">
        <f>E13*E14</f>
        <v>1750155676.919482</v>
      </c>
      <c r="F15" s="20">
        <f>F13*F14</f>
        <v>1642530361.4310865</v>
      </c>
    </row>
    <row r="17" spans="1:2" x14ac:dyDescent="0.25">
      <c r="A17" s="22" t="s">
        <v>52</v>
      </c>
      <c r="B17" s="23">
        <f>SUM(B15:F15)</f>
        <v>9361766149.79118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9"/>
  <sheetViews>
    <sheetView workbookViewId="0" showGridLines="0"/>
  </sheetViews>
  <sheetFormatPr defaultRowHeight="15" outlineLevelRow="0" outlineLevelCol="0" x14ac:dyDescent="55"/>
  <cols>
    <col min="1" max="1" width="46" customWidth="1"/>
    <col min="2" max="2" width="18" customWidth="1"/>
    <col min="3" max="3" width="46" customWidth="1"/>
  </cols>
  <sheetData>
    <row r="1" spans="1:1" x14ac:dyDescent="0.25">
      <c r="A1" s="15" t="s">
        <v>53</v>
      </c>
    </row>
    <row r="3" spans="1:3" x14ac:dyDescent="0.25">
      <c r="A3" s="4" t="s">
        <v>54</v>
      </c>
      <c r="B3" s="5"/>
      <c r="C3" s="5"/>
    </row>
    <row r="4" spans="1:2" x14ac:dyDescent="0.25">
      <c r="A4" t="s">
        <v>55</v>
      </c>
      <c r="B4" s="18">
        <f>Forecast!F13</f>
        <v>2651822087.9561787</v>
      </c>
    </row>
    <row r="5" spans="1:2" x14ac:dyDescent="0.25">
      <c r="A5" t="s">
        <v>56</v>
      </c>
      <c r="B5" s="18">
        <f>IF(Assumptions!$B$33=0,B4,B4-Forecast!F11-Forecast!F10-Forecast!F12)</f>
        <v>6990531394.149934</v>
      </c>
    </row>
    <row r="6" spans="1:2" x14ac:dyDescent="0.25">
      <c r="A6" t="s">
        <v>57</v>
      </c>
      <c r="B6" s="10">
        <f>IF(OR(Assumptions!$B$33=0,Assumptions!B12&lt;=0),0,MIN(Assumptions!B12/MAX(Assumptions!B14,Assumptions!B26),0.9))</f>
        <v>0.12731959215681377</v>
      </c>
    </row>
    <row r="7" spans="1:2" x14ac:dyDescent="0.25">
      <c r="A7" t="s">
        <v>58</v>
      </c>
      <c r="B7" s="18">
        <f>-MAX(Forecast!F9,0)*B6</f>
        <v>-890031606.0625724</v>
      </c>
    </row>
    <row r="8" spans="1:2" x14ac:dyDescent="0.25">
      <c r="A8" t="s">
        <v>59</v>
      </c>
      <c r="B8" s="18">
        <f>IF(OR(Assumptions!$B$33=0,Assumptions!B12&lt;=0),B5,MAX(B5+B7,0))</f>
        <v>6100499788.087361</v>
      </c>
    </row>
    <row r="9" spans="1:2" x14ac:dyDescent="0.25">
      <c r="A9" t="s">
        <v>60</v>
      </c>
      <c r="B9" s="18">
        <f>B8*(1+Assumptions!B12)/(Assumptions!B26-Assumptions!B12)</f>
        <v>71611654357.44392</v>
      </c>
    </row>
    <row r="10" spans="1:2" x14ac:dyDescent="0.25">
      <c r="A10" t="s">
        <v>61</v>
      </c>
      <c r="B10" s="18">
        <f>B9/(1+Assumptions!B26)^(5-0.5*Assumptions!B32)</f>
        <v>44356036194.368614</v>
      </c>
    </row>
    <row r="11" spans="1:2" x14ac:dyDescent="0.25">
      <c r="A11" t="s">
        <v>62</v>
      </c>
      <c r="B11" s="18">
        <f>Forecast!B17+B10</f>
        <v>53717802344.15979</v>
      </c>
    </row>
    <row r="12" spans="1:2" x14ac:dyDescent="0.25">
      <c r="A12" t="s">
        <v>63</v>
      </c>
      <c r="B12" s="18">
        <f>-Assumptions!B30</f>
        <v>-6668000000</v>
      </c>
    </row>
    <row r="13" spans="1:2" x14ac:dyDescent="0.25">
      <c r="A13" t="s">
        <v>64</v>
      </c>
      <c r="B13" s="18">
        <f>B11+B12</f>
        <v>47049802344.15979</v>
      </c>
    </row>
    <row r="14" spans="1:2" x14ac:dyDescent="0.25">
      <c r="A14" s="19" t="s">
        <v>65</v>
      </c>
      <c r="B14" s="24">
        <f>B13/Assumptions!B31</f>
        <v>32.60554563004836</v>
      </c>
    </row>
    <row r="16" spans="1:3" x14ac:dyDescent="0.25">
      <c r="A16" s="4" t="s">
        <v>66</v>
      </c>
      <c r="B16" s="5"/>
      <c r="C16" s="5"/>
    </row>
    <row r="17" spans="1:2" x14ac:dyDescent="0.25">
      <c r="A17" t="s">
        <v>67</v>
      </c>
      <c r="B17" s="18">
        <f>Forecast!F8+Forecast!F10</f>
        <v>11690010749.174223</v>
      </c>
    </row>
    <row r="18" spans="1:2" x14ac:dyDescent="0.25">
      <c r="A18" t="s">
        <v>60</v>
      </c>
      <c r="B18" s="18">
        <f>B17*Assumptions!B13</f>
        <v>146226307229.462</v>
      </c>
    </row>
    <row r="19" spans="1:2" x14ac:dyDescent="0.25">
      <c r="A19" t="s">
        <v>61</v>
      </c>
      <c r="B19" s="18">
        <f>B18/(1+Assumptions!B26)^(5-0.5*Assumptions!B32)</f>
        <v>90572120337.62587</v>
      </c>
    </row>
    <row r="20" spans="1:2" x14ac:dyDescent="0.25">
      <c r="A20" t="s">
        <v>62</v>
      </c>
      <c r="B20" s="18">
        <f>Forecast!B17+B19</f>
        <v>99933886487.41705</v>
      </c>
    </row>
    <row r="21" spans="1:2" x14ac:dyDescent="0.25">
      <c r="A21" t="s">
        <v>63</v>
      </c>
      <c r="B21" s="18">
        <f>-Assumptions!B30</f>
        <v>-6668000000</v>
      </c>
    </row>
    <row r="22" spans="1:2" x14ac:dyDescent="0.25">
      <c r="A22" t="s">
        <v>64</v>
      </c>
      <c r="B22" s="18">
        <f>B20+B21</f>
        <v>93265886487.41705</v>
      </c>
    </row>
    <row r="23" spans="1:2" x14ac:dyDescent="0.25">
      <c r="A23" s="19" t="s">
        <v>65</v>
      </c>
      <c r="B23" s="25">
        <f>B22/Assumptions!B31</f>
        <v>64.63332396910398</v>
      </c>
    </row>
    <row r="25" spans="1:3" x14ac:dyDescent="0.25">
      <c r="A25" s="4" t="s">
        <v>68</v>
      </c>
      <c r="B25" s="5"/>
      <c r="C25" s="5"/>
    </row>
    <row r="26" spans="1:2" x14ac:dyDescent="0.25">
      <c r="A26" t="s">
        <v>69</v>
      </c>
      <c r="B26" s="26">
        <v>71.54</v>
      </c>
    </row>
    <row r="27" spans="1:3" x14ac:dyDescent="0.25">
      <c r="A27" t="s">
        <v>70</v>
      </c>
      <c r="B27" s="27">
        <v>1</v>
      </c>
      <c r="C27" s="8" t="s">
        <v>71</v>
      </c>
    </row>
    <row r="28" spans="1:2" x14ac:dyDescent="0.25">
      <c r="A28" t="s">
        <v>72</v>
      </c>
      <c r="B28" s="28">
        <f>B14*B27</f>
        <v>32.60554563004836</v>
      </c>
    </row>
    <row r="29" spans="1:2" x14ac:dyDescent="0.25">
      <c r="A29" s="19" t="s">
        <v>73</v>
      </c>
      <c r="B29" s="12">
        <f>B28/B26-1</f>
        <v>-0.5442333571421811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9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14" customWidth="1"/>
    <col min="2" max="6" width="13" customWidth="1"/>
  </cols>
  <sheetData>
    <row r="1" spans="1:1" x14ac:dyDescent="0.25">
      <c r="A1" s="15" t="s">
        <v>74</v>
      </c>
    </row>
    <row r="2" spans="1:1" x14ac:dyDescent="0.25">
      <c r="A2" s="3" t="s">
        <v>75</v>
      </c>
    </row>
    <row r="4" spans="1:6" x14ac:dyDescent="0.25">
      <c r="A4" s="16" t="s">
        <v>27</v>
      </c>
      <c r="B4" s="29">
        <v>0.015</v>
      </c>
      <c r="C4" s="29">
        <v>0.02</v>
      </c>
      <c r="D4" s="29">
        <v>0.025</v>
      </c>
      <c r="E4" s="29">
        <v>0.03</v>
      </c>
      <c r="F4" s="29">
        <v>0.035</v>
      </c>
    </row>
    <row r="5" spans="1:6" x14ac:dyDescent="0.25">
      <c r="A5" s="30">
        <v>0.092318</v>
      </c>
      <c r="B5" s="31">
        <v>41.63166370902545</v>
      </c>
      <c r="C5" s="31">
        <v>43.39962430095569</v>
      </c>
      <c r="D5" s="31">
        <v>45.41789718055347</v>
      </c>
      <c r="E5" s="31">
        <v>47.74673274601852</v>
      </c>
      <c r="F5" s="31">
        <v>50.4674045988026</v>
      </c>
    </row>
    <row r="6" spans="1:6" x14ac:dyDescent="0.25">
      <c r="A6" s="30">
        <v>0.102318</v>
      </c>
      <c r="B6" s="31">
        <v>35.55944854922608</v>
      </c>
      <c r="C6" s="31">
        <v>36.78665322641675</v>
      </c>
      <c r="D6" s="31">
        <v>38.16228745278274</v>
      </c>
      <c r="E6" s="31">
        <v>39.71713807582579</v>
      </c>
      <c r="F6" s="31">
        <v>41.491138634126294</v>
      </c>
    </row>
    <row r="7" spans="1:6" x14ac:dyDescent="0.25">
      <c r="A7" s="30">
        <v>0.112318</v>
      </c>
      <c r="B7" s="31">
        <v>30.77186736374492</v>
      </c>
      <c r="C7" s="31">
        <v>31.643271906774856</v>
      </c>
      <c r="D7" s="32">
        <v>32.60572257516376</v>
      </c>
      <c r="E7" s="31">
        <v>33.67580980940322</v>
      </c>
      <c r="F7" s="31">
        <v>34.8744155320437</v>
      </c>
    </row>
    <row r="8" spans="1:6" x14ac:dyDescent="0.25">
      <c r="A8" s="30">
        <v>0.122318</v>
      </c>
      <c r="B8" s="31">
        <v>26.907909438225243</v>
      </c>
      <c r="C8" s="31">
        <v>27.536687289552017</v>
      </c>
      <c r="D8" s="31">
        <v>28.22253434411767</v>
      </c>
      <c r="E8" s="31">
        <v>28.9747233119959</v>
      </c>
      <c r="F8" s="31">
        <v>29.8046507975488</v>
      </c>
    </row>
    <row r="9" spans="1:6" x14ac:dyDescent="0.25">
      <c r="A9" s="30">
        <v>0.132318</v>
      </c>
      <c r="B9" s="31">
        <v>23.729765079499412</v>
      </c>
      <c r="C9" s="31">
        <v>24.188350574817104</v>
      </c>
      <c r="D9" s="31">
        <v>24.683096422308363</v>
      </c>
      <c r="E9" s="31">
        <v>25.219303793640005</v>
      </c>
      <c r="F9" s="31">
        <v>25.803363313954385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8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40" customWidth="1"/>
    <col min="2" max="5" width="17" customWidth="1"/>
    <col min="6" max="6" width="44" customWidth="1"/>
  </cols>
  <sheetData>
    <row r="1" spans="1:1" x14ac:dyDescent="0.25">
      <c r="A1" s="15" t="s">
        <v>76</v>
      </c>
    </row>
    <row r="2" spans="1:1" x14ac:dyDescent="0.25">
      <c r="A2" s="3" t="s">
        <v>77</v>
      </c>
    </row>
    <row r="4" spans="1:6" x14ac:dyDescent="0.25">
      <c r="A4" s="16" t="s">
        <v>78</v>
      </c>
      <c r="B4" s="17" t="s">
        <v>79</v>
      </c>
      <c r="C4" s="17" t="s">
        <v>80</v>
      </c>
      <c r="D4" s="17" t="s">
        <v>81</v>
      </c>
      <c r="E4" s="17" t="s">
        <v>82</v>
      </c>
      <c r="F4" s="33" t="s">
        <v>83</v>
      </c>
    </row>
    <row r="5" spans="1:6" x14ac:dyDescent="0.25">
      <c r="A5" t="s">
        <v>43</v>
      </c>
      <c r="B5" s="18">
        <v>25915000000</v>
      </c>
      <c r="C5" s="18">
        <v>25455000000</v>
      </c>
      <c r="D5" s="18">
        <v>22855000000</v>
      </c>
      <c r="E5" s="18">
        <v>22780000000</v>
      </c>
      <c r="F5" s="8" t="s">
        <v>84</v>
      </c>
    </row>
    <row r="6" spans="1:6" x14ac:dyDescent="0.25">
      <c r="A6" t="s">
        <v>44</v>
      </c>
      <c r="B6" s="18">
        <v>6502000000</v>
      </c>
      <c r="C6" s="18">
        <v>6864000000</v>
      </c>
      <c r="D6" s="18">
        <v>6225000000</v>
      </c>
      <c r="E6" s="18">
        <v>7034000000</v>
      </c>
      <c r="F6" s="8" t="s">
        <v>85</v>
      </c>
    </row>
    <row r="7" spans="1:6" x14ac:dyDescent="0.25">
      <c r="A7" t="s">
        <v>86</v>
      </c>
      <c r="B7" s="18">
        <v>2244000000</v>
      </c>
      <c r="C7" s="18">
        <v>2241000000</v>
      </c>
      <c r="D7" s="18">
        <v>2068000000</v>
      </c>
      <c r="E7" s="18">
        <v>2019000000</v>
      </c>
      <c r="F7" s="8" t="s">
        <v>87</v>
      </c>
    </row>
    <row r="8" spans="1:6" x14ac:dyDescent="0.25">
      <c r="A8" t="s">
        <v>88</v>
      </c>
      <c r="B8" s="18">
        <v>4494000000</v>
      </c>
      <c r="C8" s="18">
        <v>4808000000</v>
      </c>
      <c r="D8" s="18">
        <v>4824000000</v>
      </c>
      <c r="E8" s="18">
        <v>3469000000</v>
      </c>
      <c r="F8" s="8" t="s">
        <v>89</v>
      </c>
    </row>
    <row r="9" spans="1:6" x14ac:dyDescent="0.25">
      <c r="A9" t="s">
        <v>90</v>
      </c>
      <c r="B9" s="18">
        <v>1338000000</v>
      </c>
      <c r="C9" s="18">
        <v>29000000</v>
      </c>
      <c r="D9" s="18">
        <v>880000000</v>
      </c>
      <c r="E9" s="18">
        <v>1601000000</v>
      </c>
      <c r="F9" s="8" t="s">
        <v>91</v>
      </c>
    </row>
    <row r="10" spans="1:6" x14ac:dyDescent="0.25">
      <c r="A10" t="s">
        <v>92</v>
      </c>
      <c r="B10" s="18">
        <v>10492000000</v>
      </c>
      <c r="C10" s="18">
        <v>9738000000</v>
      </c>
      <c r="D10" s="18">
        <v>9853000000</v>
      </c>
      <c r="E10" s="18">
        <v>10952000000</v>
      </c>
      <c r="F10" s="8" t="s">
        <v>93</v>
      </c>
    </row>
    <row r="11" spans="1:6" x14ac:dyDescent="0.25">
      <c r="A11" t="s">
        <v>94</v>
      </c>
      <c r="B11" s="18">
        <v>3824000000</v>
      </c>
      <c r="C11" s="18">
        <v>3923000000</v>
      </c>
      <c r="D11" s="18">
        <v>4758000000</v>
      </c>
      <c r="E11" s="18">
        <v>8146000000</v>
      </c>
      <c r="F11" s="8" t="s">
        <v>95</v>
      </c>
    </row>
    <row r="12" spans="1:6" x14ac:dyDescent="0.25">
      <c r="A12" t="s">
        <v>32</v>
      </c>
      <c r="B12" s="34">
        <v>1443000000</v>
      </c>
      <c r="C12" s="34">
        <v>1445000000</v>
      </c>
      <c r="D12" s="34">
        <v>1443000000</v>
      </c>
      <c r="E12" s="34">
        <v>1451000000</v>
      </c>
      <c r="F12" s="8" t="s">
        <v>96</v>
      </c>
    </row>
    <row r="15" spans="1:1" x14ac:dyDescent="0.25">
      <c r="A15" s="19" t="s">
        <v>97</v>
      </c>
    </row>
    <row r="16" ht="54" customHeight="1" spans="1:6" x14ac:dyDescent="0.25">
      <c r="A16" s="35" t="s">
        <v>98</v>
      </c>
      <c r="B16" s="35"/>
      <c r="C16" s="35"/>
      <c r="D16" s="35"/>
      <c r="E16" s="35"/>
      <c r="F16" s="35"/>
    </row>
    <row r="18" spans="1:1" x14ac:dyDescent="0.25">
      <c r="A18" s="36" t="s">
        <v>99</v>
      </c>
    </row>
  </sheetData>
  <mergeCells count="1">
    <mergeCell ref="A16:F16"/>
  </mergeCell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Assumptions</vt:lpstr>
      <vt:lpstr>Forecast</vt:lpstr>
      <vt:lpstr>Valuation</vt:lpstr>
      <vt:lpstr>Sensitivity</vt:lpstr>
      <vt:lpstr>Source 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DCF Studio</dc:creator>
  <dc:title/>
  <dc:subject/>
  <dc:description/>
  <cp:keywords/>
  <cp:category/>
  <cp:lastModifiedBy>Unknown</cp:lastModifiedBy>
  <dcterms:created xsi:type="dcterms:W3CDTF">1970-01-01T00:00:00Z</dcterms:created>
  <dcterms:modified xsi:type="dcterms:W3CDTF">2026-09-19T01:05:23Z</dcterms:modified>
</cp:coreProperties>
</file>