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<sst xmlns="http://schemas.openxmlformats.org/spreadsheetml/2006/main" count="112" uniqueCount="100">
  <si>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Fluidra, S.A. (FDR.MC)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</si>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</sst>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-0.029312480050082246</v>
      </c>
    </row>
    <row r="7" spans="1:2" x14ac:dyDescent="0.25">
      <c r="A7" t="s">
        <v>5</v>
      </c>
      <c r="B7" s="6">
        <v>0.12662161324229243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0.07203259479583735</v>
      </c>
    </row>
    <row r="10" spans="1:2" x14ac:dyDescent="0.25">
      <c r="A10" t="s">
        <v>8</v>
      </c>
      <c r="B10" s="6">
        <v>0.03232061357344746</v>
      </c>
    </row>
    <row r="11" spans="1:2" x14ac:dyDescent="0.25">
      <c r="A11" t="s">
        <v>9</v>
      </c>
      <c r="B11" s="6">
        <v>0.26043007451318445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9.439563430711258</v>
      </c>
    </row>
    <row r="14" spans="1:3" x14ac:dyDescent="0.25">
      <c r="A14" t="s">
        <v>12</v>
      </c>
      <c r="B14" s="6">
        <v>0.08174442507958082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0.8827499999999999</v>
      </c>
      <c r="C19" s="8" t="s">
        <v>19</v>
      </c>
    </row>
    <row r="20" spans="1:2" x14ac:dyDescent="0.25">
      <c r="A20" t="s">
        <v>20</v>
      </c>
      <c r="B20" s="10">
        <f>B17+B19*B18</f>
        <v>0.09937875</v>
      </c>
    </row>
    <row r="21" spans="1:3" x14ac:dyDescent="0.25">
      <c r="A21" t="s">
        <v>21</v>
      </c>
      <c r="B21" s="6">
        <v>0.04516441971385648</v>
      </c>
      <c r="C21" s="8" t="s">
        <v>22</v>
      </c>
    </row>
    <row r="22" spans="1:2" x14ac:dyDescent="0.25">
      <c r="A22" t="s">
        <v>23</v>
      </c>
      <c r="B22" s="11">
        <v>3323031040</v>
      </c>
    </row>
    <row r="23" spans="1:2" x14ac:dyDescent="0.25">
      <c r="A23" t="s">
        <v>24</v>
      </c>
      <c r="B23" s="11">
        <v>1224108000</v>
      </c>
    </row>
    <row r="24" spans="1:2" x14ac:dyDescent="0.25">
      <c r="A24" t="s">
        <v>25</v>
      </c>
      <c r="B24" s="10">
        <f>B22/(B22+B23)</f>
        <v>0.7307960039858381</v>
      </c>
    </row>
    <row r="25" spans="1:2" x14ac:dyDescent="0.25">
      <c r="A25" t="s">
        <v>26</v>
      </c>
      <c r="B25" s="10">
        <f>1-B24</f>
        <v>0.2692039960141619</v>
      </c>
    </row>
    <row r="26" spans="1:2" x14ac:dyDescent="0.25">
      <c r="A26" t="s">
        <v>27</v>
      </c>
      <c r="B26" s="12">
        <f>B24*B20+B25*B21*(1-B8)</f>
        <v>0.08174442507958082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2221085000</v>
      </c>
      <c r="C29" s="8" t="s">
        <v>30</v>
      </c>
    </row>
    <row r="30" spans="1:2" x14ac:dyDescent="0.25">
      <c r="A30" t="s">
        <v>31</v>
      </c>
      <c r="B30" s="11">
        <v>1103454000</v>
      </c>
    </row>
    <row r="31" spans="1:2" x14ac:dyDescent="0.25">
      <c r="A31" t="s">
        <v>32</v>
      </c>
      <c r="B31" s="13">
        <v>189863583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-0.029312480050082246</v>
      </c>
      <c r="C5" s="10">
        <f>Assumptions!B6</f>
        <v>-0.029312480050082246</v>
      </c>
      <c r="D5" s="10">
        <f>Assumptions!B6</f>
        <v>-0.029312480050082246</v>
      </c>
      <c r="E5" s="10">
        <f>Assumptions!B6</f>
        <v>-0.029312480050082246</v>
      </c>
      <c r="F5" s="10">
        <f>Assumptions!B6</f>
        <v>-0.029312480050082246</v>
      </c>
    </row>
    <row r="6" spans="1:6" x14ac:dyDescent="0.25">
      <c r="A6" t="s">
        <v>43</v>
      </c>
      <c r="B6" s="18">
        <f>Assumptions!B29*(1+B5)</f>
        <v>2155979490.247963</v>
      </c>
      <c r="C6" s="18">
        <f>B6*(1+C5)</f>
        <v>2092782384.451683</v>
      </c>
      <c r="D6" s="18">
        <f>C6*(1+D5)</f>
        <v>2031437742.5582795</v>
      </c>
      <c r="E6" s="18">
        <f>D6*(1+E5)</f>
        <v>1971891264.2565558</v>
      </c>
      <c r="F6" s="18">
        <f>E6*(1+F5)</f>
        <v>1914090240.9121041</v>
      </c>
    </row>
    <row r="7" spans="1:6" x14ac:dyDescent="0.25">
      <c r="A7" t="s">
        <v>5</v>
      </c>
      <c r="B7" s="10">
        <f>Assumptions!B7</f>
        <v>0.12662161324229243</v>
      </c>
      <c r="C7" s="10">
        <f>Assumptions!B7</f>
        <v>0.12662161324229243</v>
      </c>
      <c r="D7" s="10">
        <f>Assumptions!B7</f>
        <v>0.12662161324229243</v>
      </c>
      <c r="E7" s="10">
        <f>Assumptions!B7</f>
        <v>0.12662161324229243</v>
      </c>
      <c r="F7" s="10">
        <f>Assumptions!B7</f>
        <v>0.12662161324229243</v>
      </c>
    </row>
    <row r="8" spans="1:6" x14ac:dyDescent="0.25">
      <c r="A8" t="s">
        <v>44</v>
      </c>
      <c r="B8" s="18">
        <f>B6*B7</f>
        <v>272993601.1724923</v>
      </c>
      <c r="C8" s="18">
        <f>C6*C7</f>
        <v>264991481.68432355</v>
      </c>
      <c r="D8" s="18">
        <f>D6*D7</f>
        <v>257223924.16401008</v>
      </c>
      <c r="E8" s="18">
        <f>E6*E7</f>
        <v>249684053.01854867</v>
      </c>
      <c r="F8" s="18">
        <f>F6*F7</f>
        <v>242365194.19561878</v>
      </c>
    </row>
    <row r="9" spans="1:6" x14ac:dyDescent="0.25">
      <c r="A9" t="s">
        <v>45</v>
      </c>
      <c r="B9" s="18">
        <f>B8*(1-Assumptions!B8)</f>
        <v>204745200.87936926</v>
      </c>
      <c r="C9" s="18">
        <f>C8*(1-Assumptions!B8)</f>
        <v>198743611.26324266</v>
      </c>
      <c r="D9" s="18">
        <f>D8*(1-Assumptions!B8)</f>
        <v>192917943.12300757</v>
      </c>
      <c r="E9" s="18">
        <f>E8*(1-Assumptions!B8)</f>
        <v>187263039.7639115</v>
      </c>
      <c r="F9" s="18">
        <f>F8*(1-Assumptions!B8)</f>
        <v>181773895.6467141</v>
      </c>
    </row>
    <row r="10" spans="1:6" x14ac:dyDescent="0.25">
      <c r="A10" t="s">
        <v>46</v>
      </c>
      <c r="B10" s="18">
        <f>B6*Assumptions!B9</f>
        <v>155300797.00916746</v>
      </c>
      <c r="C10" s="18">
        <f>C6*Assumptions!B9</f>
        <v>150748545.49507436</v>
      </c>
      <c r="D10" s="18">
        <f>D6*Assumptions!B9</f>
        <v>146329731.76267108</v>
      </c>
      <c r="E10" s="18">
        <f>E6*Assumptions!B9</f>
        <v>142040444.4196439</v>
      </c>
      <c r="F10" s="18">
        <f>F6*Assumptions!B9</f>
        <v>137876886.7262883</v>
      </c>
    </row>
    <row r="11" spans="1:6" x14ac:dyDescent="0.25">
      <c r="A11" t="s">
        <v>47</v>
      </c>
      <c r="B11" s="18">
        <f>-B6*Assumptions!B10</f>
        <v>-69682579.97658265</v>
      </c>
      <c r="C11" s="18">
        <f>-C6*Assumptions!B10</f>
        <v>-67640010.7411808</v>
      </c>
      <c r="D11" s="18">
        <f>-D6*Assumptions!B10</f>
        <v>-65657314.2757426</v>
      </c>
      <c r="E11" s="18">
        <f>-E6*Assumptions!B10</f>
        <v>-63732735.56089291</v>
      </c>
      <c r="F11" s="18">
        <f>-F6*Assumptions!B10</f>
        <v>-61864571.02122708</v>
      </c>
    </row>
    <row r="12" spans="1:6" x14ac:dyDescent="0.25">
      <c r="A12" t="s">
        <v>48</v>
      </c>
      <c r="B12" s="18">
        <f>-(B6-Assumptions!B29)*Assumptions!B11</f>
        <v>16955432.755941864</v>
      </c>
      <c r="C12" s="18">
        <f>-(C6-B6)*Assumptions!B11</f>
        <v>16458426.971542777</v>
      </c>
      <c r="D12" s="18">
        <f>-(D6-C6)*Assumptions!B11</f>
        <v>15975989.659283698</v>
      </c>
      <c r="E12" s="18">
        <f>-(E6-D6)*Assumptions!B11</f>
        <v>15507693.781115629</v>
      </c>
      <c r="F12" s="18">
        <f>-(F6-E6)*Assumptions!B11</f>
        <v>15053124.816533862</v>
      </c>
    </row>
    <row r="13" spans="1:6" x14ac:dyDescent="0.25">
      <c r="A13" s="19" t="s">
        <v>49</v>
      </c>
      <c r="B13" s="20">
        <f>B9+B10+B11+B12</f>
        <v>307318850.6678959</v>
      </c>
      <c r="C13" s="20">
        <f>C9+C10+C11+C12</f>
        <v>298310572.988679</v>
      </c>
      <c r="D13" s="20">
        <f>D9+D10+D11+D12</f>
        <v>289566350.26921976</v>
      </c>
      <c r="E13" s="20">
        <f>E9+E10+E11+E12</f>
        <v>281078442.4037781</v>
      </c>
      <c r="F13" s="20">
        <f>F9+F10+F11+F12</f>
        <v>272839336.1683092</v>
      </c>
    </row>
    <row r="14" spans="1:6" x14ac:dyDescent="0.25">
      <c r="A14" t="s">
        <v>50</v>
      </c>
      <c r="B14" s="21">
        <f>1/(1+Assumptions!$B$26)^(1-0.5*Assumptions!$B$32)</f>
        <v>0.9614742712819165</v>
      </c>
      <c r="C14" s="21">
        <f>1/(1+Assumptions!$B$26)^(2-0.5*Assumptions!$B$32)</f>
        <v>0.8888183280548764</v>
      </c>
      <c r="D14" s="21">
        <f>1/(1+Assumptions!$B$26)^(3-0.5*Assumptions!$B$32)</f>
        <v>0.8216527928854254</v>
      </c>
      <c r="E14" s="21">
        <f>1/(1+Assumptions!$B$26)^(4-0.5*Assumptions!$B$32)</f>
        <v>0.7595627708688941</v>
      </c>
      <c r="F14" s="21">
        <f>1/(1+Assumptions!$B$26)^(5-0.5*Assumptions!$B$32)</f>
        <v>0.702164719557501</v>
      </c>
    </row>
    <row r="15" spans="1:6" x14ac:dyDescent="0.25">
      <c r="A15" s="19" t="s">
        <v>51</v>
      </c>
      <c r="B15" s="20">
        <f>B13*B14</f>
        <v>295479167.9971114</v>
      </c>
      <c r="C15" s="20">
        <f>C13*C14</f>
        <v>265143904.7248898</v>
      </c>
      <c r="D15" s="20">
        <f>D13*D14</f>
        <v>237923000.42434376</v>
      </c>
      <c r="E15" s="20">
        <f>E13*E14</f>
        <v>213496720.54372653</v>
      </c>
      <c r="F15" s="20">
        <f>F13*F14</f>
        <v>191578155.96487558</v>
      </c>
    </row>
    <row r="17" spans="1:2" x14ac:dyDescent="0.25">
      <c r="A17" s="22" t="s">
        <v>52</v>
      </c>
      <c r="B17" s="23">
        <f>SUM(B15:F15)</f>
        <v>1203620949.654947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272839336.1683092</v>
      </c>
    </row>
    <row r="5" spans="1:2" x14ac:dyDescent="0.25">
      <c r="A5" t="s">
        <v>56</v>
      </c>
      <c r="B5" s="18">
        <f>IF(Assumptions!$B$33=0,B4,B4-Forecast!F11-Forecast!F10-Forecast!F12)</f>
        <v>195783236.09107876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0.3058312536379294</v>
      </c>
    </row>
    <row r="7" spans="1:2" x14ac:dyDescent="0.25">
      <c r="A7" t="s">
        <v>58</v>
      </c>
      <c r="B7" s="18">
        <f>-MAX(Forecast!F9,0)*B6</f>
        <v>-59876632.53502532</v>
      </c>
    </row>
    <row r="8" spans="1:2" x14ac:dyDescent="0.25">
      <c r="A8" t="s">
        <v>59</v>
      </c>
      <c r="B8" s="18">
        <f>IF(OR(Assumptions!$B$33=0,Assumptions!B12&lt;=0),B5,MAX(B5+B7,0))</f>
        <v>135906603.55605343</v>
      </c>
    </row>
    <row r="9" spans="1:2" x14ac:dyDescent="0.25">
      <c r="A9" t="s">
        <v>60</v>
      </c>
      <c r="B9" s="18">
        <f>B8*(1+Assumptions!B12)/(Assumptions!B26-Assumptions!B12)</f>
        <v>2454941933.9360375</v>
      </c>
    </row>
    <row r="10" spans="1:2" x14ac:dyDescent="0.25">
      <c r="A10" t="s">
        <v>61</v>
      </c>
      <c r="B10" s="18">
        <f>B9/(1+Assumptions!B26)^(5-0.5*Assumptions!B32)</f>
        <v>1723773614.5721471</v>
      </c>
    </row>
    <row r="11" spans="1:2" x14ac:dyDescent="0.25">
      <c r="A11" t="s">
        <v>62</v>
      </c>
      <c r="B11" s="18">
        <f>Forecast!B17+B10</f>
        <v>2927394564.227094</v>
      </c>
    </row>
    <row r="12" spans="1:2" x14ac:dyDescent="0.25">
      <c r="A12" t="s">
        <v>63</v>
      </c>
      <c r="B12" s="18">
        <f>-Assumptions!B30</f>
        <v>-1103454000</v>
      </c>
    </row>
    <row r="13" spans="1:2" x14ac:dyDescent="0.25">
      <c r="A13" t="s">
        <v>64</v>
      </c>
      <c r="B13" s="18">
        <f>B11+B12</f>
        <v>1823940564.2270942</v>
      </c>
    </row>
    <row r="14" spans="1:2" x14ac:dyDescent="0.25">
      <c r="A14" s="19" t="s">
        <v>65</v>
      </c>
      <c r="B14" s="24">
        <f>B13/Assumptions!B31</f>
        <v>9.606584556171018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380242080.92190707</v>
      </c>
    </row>
    <row r="18" spans="1:2" x14ac:dyDescent="0.25">
      <c r="A18" t="s">
        <v>60</v>
      </c>
      <c r="B18" s="18">
        <f>B17*Assumptions!B13</f>
        <v>3589319241.887985</v>
      </c>
    </row>
    <row r="19" spans="1:2" x14ac:dyDescent="0.25">
      <c r="A19" t="s">
        <v>61</v>
      </c>
      <c r="B19" s="18">
        <f>B18/(1+Assumptions!B26)^(5-0.5*Assumptions!B32)</f>
        <v>2520293338.8826194</v>
      </c>
    </row>
    <row r="20" spans="1:2" x14ac:dyDescent="0.25">
      <c r="A20" t="s">
        <v>62</v>
      </c>
      <c r="B20" s="18">
        <f>Forecast!B17+B19</f>
        <v>3723914288.537566</v>
      </c>
    </row>
    <row r="21" spans="1:2" x14ac:dyDescent="0.25">
      <c r="A21" t="s">
        <v>63</v>
      </c>
      <c r="B21" s="18">
        <f>-Assumptions!B30</f>
        <v>-1103454000</v>
      </c>
    </row>
    <row r="22" spans="1:2" x14ac:dyDescent="0.25">
      <c r="A22" t="s">
        <v>64</v>
      </c>
      <c r="B22" s="18">
        <f>B20+B21</f>
        <v>2620460288.537566</v>
      </c>
    </row>
    <row r="23" spans="1:2" x14ac:dyDescent="0.25">
      <c r="A23" s="19" t="s">
        <v>65</v>
      </c>
      <c r="B23" s="25">
        <f>B22/Assumptions!B31</f>
        <v>13.801805734054678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17.68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9.606584556171018</v>
      </c>
    </row>
    <row r="29" spans="1:2" x14ac:dyDescent="0.25">
      <c r="A29" s="19" t="s">
        <v>73</v>
      </c>
      <c r="B29" s="12">
        <f>B28/B26-1</f>
        <v>-0.4566411450129514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0.061744</v>
      </c>
      <c r="B5" s="31">
        <v>14.447312782741967</v>
      </c>
      <c r="C5" s="31">
        <v>14.859327879691486</v>
      </c>
      <c r="D5" s="31">
        <v>15.369026425862158</v>
      </c>
      <c r="E5" s="31">
        <v>16.02256680514754</v>
      </c>
      <c r="F5" s="31">
        <v>16.90062608517853</v>
      </c>
    </row>
    <row r="6" spans="1:6" x14ac:dyDescent="0.25">
      <c r="A6" s="30">
        <v>0.071744</v>
      </c>
      <c r="B6" s="31">
        <v>11.437220969334032</v>
      </c>
      <c r="C6" s="31">
        <v>11.533176756446998</v>
      </c>
      <c r="D6" s="31">
        <v>11.638772634440345</v>
      </c>
      <c r="E6" s="31">
        <v>11.757472606840466</v>
      </c>
      <c r="F6" s="31">
        <v>11.89462615699434</v>
      </c>
    </row>
    <row r="7" spans="1:6" x14ac:dyDescent="0.25">
      <c r="A7" s="30">
        <v>0.081744</v>
      </c>
      <c r="B7" s="31">
        <v>9.518077176448305</v>
      </c>
      <c r="C7" s="31">
        <v>9.562365345041883</v>
      </c>
      <c r="D7" s="32">
        <v>9.606653513635461</v>
      </c>
      <c r="E7" s="31">
        <v>9.650941682229039</v>
      </c>
      <c r="F7" s="31">
        <v>9.695229850822615</v>
      </c>
    </row>
    <row r="8" spans="1:6" x14ac:dyDescent="0.25">
      <c r="A8" s="30">
        <v>0.091744</v>
      </c>
      <c r="B8" s="31">
        <v>8.081839080157879</v>
      </c>
      <c r="C8" s="31">
        <v>8.11969924505957</v>
      </c>
      <c r="D8" s="31">
        <v>8.15755940996126</v>
      </c>
      <c r="E8" s="31">
        <v>8.195419574862955</v>
      </c>
      <c r="F8" s="31">
        <v>8.233279739764646</v>
      </c>
    </row>
    <row r="9" spans="1:6" x14ac:dyDescent="0.25">
      <c r="A9" s="30">
        <v>0.101744</v>
      </c>
      <c r="B9" s="31">
        <v>6.921380267923564</v>
      </c>
      <c r="C9" s="31">
        <v>6.954146907474282</v>
      </c>
      <c r="D9" s="31">
        <v>6.986913547024997</v>
      </c>
      <c r="E9" s="31">
        <v>7.019680186575718</v>
      </c>
      <c r="F9" s="31">
        <v>7.052446826126434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2221085000</v>
      </c>
      <c r="C5" s="18">
        <v>2136402000</v>
      </c>
      <c r="D5" s="18">
        <v>2083496000</v>
      </c>
      <c r="E5" s="18">
        <v>2428437000</v>
      </c>
      <c r="F5" s="8" t="s">
        <v>84</v>
      </c>
    </row>
    <row r="6" spans="1:6" x14ac:dyDescent="0.25">
      <c r="A6" t="s">
        <v>44</v>
      </c>
      <c r="B6" s="18">
        <v>307606000</v>
      </c>
      <c r="C6" s="18">
        <v>262317000</v>
      </c>
      <c r="D6" s="18">
        <v>250027000</v>
      </c>
      <c r="E6" s="18">
        <v>304052000</v>
      </c>
      <c r="F6" s="8" t="s">
        <v>85</v>
      </c>
    </row>
    <row r="7" spans="1:6" x14ac:dyDescent="0.25">
      <c r="A7" t="s">
        <v>86</v>
      </c>
      <c r="B7" s="18">
        <v>161323000</v>
      </c>
      <c r="C7" s="18">
        <v>160910000</v>
      </c>
      <c r="D7" s="18">
        <v>157276000</v>
      </c>
      <c r="E7" s="18">
        <v>157103000</v>
      </c>
      <c r="F7" s="8" t="s">
        <v>87</v>
      </c>
    </row>
    <row r="8" spans="1:6" x14ac:dyDescent="0.25">
      <c r="A8" t="s">
        <v>88</v>
      </c>
      <c r="B8" s="18">
        <v>71099000</v>
      </c>
      <c r="C8" s="18">
        <v>73108000</v>
      </c>
      <c r="D8" s="18">
        <v>64130000</v>
      </c>
      <c r="E8" s="18">
        <v>78369000</v>
      </c>
      <c r="F8" s="8" t="s">
        <v>89</v>
      </c>
    </row>
    <row r="9" spans="1:6" x14ac:dyDescent="0.25">
      <c r="A9" t="s">
        <v>90</v>
      </c>
      <c r="B9" s="18">
        <v>22054000</v>
      </c>
      <c r="C9" s="18">
        <v>-39115000</v>
      </c>
      <c r="D9" s="18">
        <v>-155823000</v>
      </c>
      <c r="E9" s="18">
        <v>227443000</v>
      </c>
      <c r="F9" s="8" t="s">
        <v>91</v>
      </c>
    </row>
    <row r="10" spans="1:6" x14ac:dyDescent="0.25">
      <c r="A10" t="s">
        <v>92</v>
      </c>
      <c r="B10" s="18">
        <v>1224108000</v>
      </c>
      <c r="C10" s="18">
        <v>1319930000</v>
      </c>
      <c r="D10" s="18">
        <v>1326479000</v>
      </c>
      <c r="E10" s="18">
        <v>1460070000</v>
      </c>
      <c r="F10" s="8" t="s">
        <v>93</v>
      </c>
    </row>
    <row r="11" spans="1:6" x14ac:dyDescent="0.25">
      <c r="A11" t="s">
        <v>94</v>
      </c>
      <c r="B11" s="18">
        <v>120654000</v>
      </c>
      <c r="C11" s="18">
        <v>162213000</v>
      </c>
      <c r="D11" s="18">
        <v>111303000</v>
      </c>
      <c r="E11" s="18">
        <v>75151000</v>
      </c>
      <c r="F11" s="8" t="s">
        <v>95</v>
      </c>
    </row>
    <row r="12" spans="1:6" x14ac:dyDescent="0.25">
      <c r="A12" t="s">
        <v>32</v>
      </c>
      <c r="B12" s="34">
        <v>189863583</v>
      </c>
      <c r="C12" s="34">
        <v>189833227</v>
      </c>
      <c r="D12" s="34">
        <v>189638263</v>
      </c>
      <c r="E12" s="34">
        <v>188581855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2026-09-19T01:04:47Z</dcterms:modified>
</cp:coreProperties>
</file>