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<sst xmlns="http://schemas.openxmlformats.org/spreadsheetml/2006/main" count="113" uniqueCount="101">
  <si>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FactSet Research Systems Inc. (FDS)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</si>
  <si>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</si>
  <si>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</si>
  <si>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</si>
  <si>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</si>
  <si>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</si>
  <si>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</si>
  <si>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</si>
  <si>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</si>
  <si>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</si>
  <si>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</si>
  <si>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</si>
  <si>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</si>
  <si>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</si>
  <si>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</si>
  <si>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</si>
  <si>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</si>
  <si>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</si>
  <si>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</si>
  <si>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</si>
  <si>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</si>
  <si>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</si>
  <si>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</si>
  <si>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</si>
  <si>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</si>
  <si>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</si>
  <si>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</si>
  <si>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</si>
  <si>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</si>
  <si>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</si>
  <si>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2025-08-31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</si>
  <si>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</si>
  <si>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</si>
  <si>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</si>
  <si>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</si>
  <si>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</si>
  <si>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</si>
  <si>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</si>
  <si>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</si>
  <si>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</si>
  <si>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</si>
  <si>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</si>
  <si>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</si>
  <si>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</si>
  <si>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</si>
  <si>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</si>
  <si>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</si>
  <si>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</si>
  <si>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</si>
  <si>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</si>
  <si>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</si>
  <si>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</si>
  <si>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</si>
  <si>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</si>
  <si>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</si>
  <si>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</si>
  <si>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</si>
  <si>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</si>
  <si>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</si>
  <si>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</si>
  <si>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</si>
  <si>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</si>
  <si>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</si>
  <si>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</si>
  <si>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</si>
  <si>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</si>
  <si>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</si>
  <si>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</si>
  <si>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</si>
  <si>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</si>
  <si>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</si>
  <si>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</si>
  <si>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</si>
  <si>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</si>
  <si>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</si>
  <si>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</si>
  <si>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</si>
  <si>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</si>
  <si>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</si>
  <si>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2025-08-31</t>
  </si>
  <si>
    <t>2024-08-31</t>
  </si>
  <si>
    <t>2023-08-31</t>
  </si>
  <si>
    <t>2022-08-31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</si>
  <si>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</si>
  <si>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</si>
  <si>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</si>
  <si>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</si>
  <si>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</si>
  <si>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</si>
  <si>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</si>
  <si>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</si>
  <si>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</si>
  <si>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</si>
  <si>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</si>
  <si>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</si>
  <si>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</si>
  <si>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</si>
  <si>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</si>
  <si>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</si>
  <si>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3.57% of revenue against depreciation of 7.21%. A business cannot depreciate more than it invests indefinitely. Capex has been set to 7.21%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</si>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</sst>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0.07984113351802002</v>
      </c>
    </row>
    <row r="7" spans="1:2" x14ac:dyDescent="0.25">
      <c r="A7" t="s">
        <v>5</v>
      </c>
      <c r="B7" s="6">
        <v>0.3087653646340902</v>
      </c>
    </row>
    <row r="8" spans="1:2" x14ac:dyDescent="0.25">
      <c r="A8" t="s">
        <v>6</v>
      </c>
      <c r="B8" s="6">
        <v>0.17371915382418462</v>
      </c>
    </row>
    <row r="9" spans="1:2" x14ac:dyDescent="0.25">
      <c r="A9" t="s">
        <v>7</v>
      </c>
      <c r="B9" s="6">
        <v>0.0720696911778126</v>
      </c>
    </row>
    <row r="10" spans="1:2" x14ac:dyDescent="0.25">
      <c r="A10" t="s">
        <v>8</v>
      </c>
      <c r="B10" s="6">
        <v>0.0720696911778126</v>
      </c>
    </row>
    <row r="11" spans="1:2" x14ac:dyDescent="0.25">
      <c r="A11" t="s">
        <v>9</v>
      </c>
      <c r="B11" s="6">
        <v>0.32645387416204447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12.057918691620703</v>
      </c>
    </row>
    <row r="14" spans="1:3" x14ac:dyDescent="0.25">
      <c r="A14" t="s">
        <v>12</v>
      </c>
      <c r="B14" s="6">
        <v>0.16738587288905732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0.80637</v>
      </c>
      <c r="C19" s="8" t="s">
        <v>19</v>
      </c>
    </row>
    <row r="20" spans="1:2" x14ac:dyDescent="0.25">
      <c r="A20" t="s">
        <v>20</v>
      </c>
      <c r="B20" s="10">
        <f>B17+B19*B18</f>
        <v>0.09433035000000001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10094567424</v>
      </c>
    </row>
    <row r="23" spans="1:2" x14ac:dyDescent="0.25">
      <c r="A23" t="s">
        <v>24</v>
      </c>
      <c r="B23" s="11">
        <v>1558509000</v>
      </c>
    </row>
    <row r="24" spans="1:2" x14ac:dyDescent="0.25">
      <c r="A24" t="s">
        <v>25</v>
      </c>
      <c r="B24" s="10">
        <f>B22/(B22+B23)</f>
        <v>0.8662577208547105</v>
      </c>
    </row>
    <row r="25" spans="1:2" x14ac:dyDescent="0.25">
      <c r="A25" t="s">
        <v>26</v>
      </c>
      <c r="B25" s="10">
        <f>1-B24</f>
        <v>0.13374227914528947</v>
      </c>
    </row>
    <row r="26" spans="1:2" x14ac:dyDescent="0.25">
      <c r="A26" t="s">
        <v>27</v>
      </c>
      <c r="B26" s="12">
        <f>B24*B20+B25*B21*(1-B8)</f>
        <v>0.08723761800383811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2321748000</v>
      </c>
      <c r="C29" s="8" t="s">
        <v>30</v>
      </c>
    </row>
    <row r="30" spans="1:2" x14ac:dyDescent="0.25">
      <c r="A30" t="s">
        <v>31</v>
      </c>
      <c r="B30" s="11">
        <v>1203413000</v>
      </c>
    </row>
    <row r="31" spans="1:2" x14ac:dyDescent="0.25">
      <c r="A31" t="s">
        <v>32</v>
      </c>
      <c r="B31" s="13">
        <v>38385000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0.07984113351802002</v>
      </c>
      <c r="C5" s="10">
        <f>Assumptions!B6</f>
        <v>0.07984113351802002</v>
      </c>
      <c r="D5" s="10">
        <f>Assumptions!B6</f>
        <v>0.07984113351802002</v>
      </c>
      <c r="E5" s="10">
        <f>Assumptions!B6</f>
        <v>0.07984113351802002</v>
      </c>
      <c r="F5" s="10">
        <f>Assumptions!B6</f>
        <v>0.07984113351802002</v>
      </c>
    </row>
    <row r="6" spans="1:6" x14ac:dyDescent="0.25">
      <c r="A6" t="s">
        <v>43</v>
      </c>
      <c r="B6" s="18">
        <f>Assumptions!B29*(1+B5)</f>
        <v>2507118992.063196</v>
      </c>
      <c r="C6" s="18">
        <f>B6*(1+C5)</f>
        <v>2707290214.2540774</v>
      </c>
      <c r="D6" s="18">
        <f>C6*(1+D5)</f>
        <v>2923443333.7223663</v>
      </c>
      <c r="E6" s="18">
        <f>D6*(1+E5)</f>
        <v>3156854363.2624593</v>
      </c>
      <c r="F6" s="18">
        <f>E6*(1+F5)</f>
        <v>3408901193.976641</v>
      </c>
    </row>
    <row r="7" spans="1:6" x14ac:dyDescent="0.25">
      <c r="A7" t="s">
        <v>5</v>
      </c>
      <c r="B7" s="10">
        <f>Assumptions!B7</f>
        <v>0.3087653646340902</v>
      </c>
      <c r="C7" s="10">
        <f>Assumptions!B7</f>
        <v>0.3087653646340902</v>
      </c>
      <c r="D7" s="10">
        <f>Assumptions!B7</f>
        <v>0.3087653646340902</v>
      </c>
      <c r="E7" s="10">
        <f>Assumptions!B7</f>
        <v>0.3087653646340902</v>
      </c>
      <c r="F7" s="10">
        <f>Assumptions!B7</f>
        <v>0.3087653646340902</v>
      </c>
    </row>
    <row r="8" spans="1:6" x14ac:dyDescent="0.25">
      <c r="A8" t="s">
        <v>44</v>
      </c>
      <c r="B8" s="18">
        <f>B6*B7</f>
        <v>774111509.7654455</v>
      </c>
      <c r="C8" s="18">
        <f>C6*C7</f>
        <v>835917450.1744645</v>
      </c>
      <c r="D8" s="18">
        <f>D6*D7</f>
        <v>902658046.9238868</v>
      </c>
      <c r="E8" s="18">
        <f>E6*E7</f>
        <v>974727288.5694519</v>
      </c>
      <c r="F8" s="18">
        <f>F6*F7</f>
        <v>1052550620.1597831</v>
      </c>
    </row>
    <row r="9" spans="1:6" x14ac:dyDescent="0.25">
      <c r="A9" t="s">
        <v>45</v>
      </c>
      <c r="B9" s="18">
        <f>B8*(1-Assumptions!B8)</f>
        <v>639633513.3234302</v>
      </c>
      <c r="C9" s="18">
        <f>C8*(1-Assumptions!B8)</f>
        <v>690702578.0632864</v>
      </c>
      <c r="D9" s="18">
        <f>D8*(1-Assumptions!B8)</f>
        <v>745849054.819678</v>
      </c>
      <c r="E9" s="18">
        <f>E8*(1-Assumptions!B8)</f>
        <v>805398488.7898248</v>
      </c>
      <c r="F9" s="18">
        <f>F8*(1-Assumptions!B8)</f>
        <v>869702417.0685048</v>
      </c>
    </row>
    <row r="10" spans="1:6" x14ac:dyDescent="0.25">
      <c r="A10" t="s">
        <v>46</v>
      </c>
      <c r="B10" s="18">
        <f>B6*Assumptions!B9</f>
        <v>180687291.50402334</v>
      </c>
      <c r="C10" s="18">
        <f>C6*Assumptions!B9</f>
        <v>195113569.67000547</v>
      </c>
      <c r="D10" s="18">
        <f>D6*Assumptions!B9</f>
        <v>210691658.2372059</v>
      </c>
      <c r="E10" s="18">
        <f>E6*Assumptions!B9</f>
        <v>227513519.05365568</v>
      </c>
      <c r="F10" s="18">
        <f>F6*Assumptions!B9</f>
        <v>245678456.3055732</v>
      </c>
    </row>
    <row r="11" spans="1:6" x14ac:dyDescent="0.25">
      <c r="A11" t="s">
        <v>47</v>
      </c>
      <c r="B11" s="18">
        <f>-B6*Assumptions!B10</f>
        <v>-180687291.50402334</v>
      </c>
      <c r="C11" s="18">
        <f>-C6*Assumptions!B10</f>
        <v>-195113569.67000547</v>
      </c>
      <c r="D11" s="18">
        <f>-D6*Assumptions!B10</f>
        <v>-210691658.2372059</v>
      </c>
      <c r="E11" s="18">
        <f>-E6*Assumptions!B10</f>
        <v>-227513519.05365568</v>
      </c>
      <c r="F11" s="18">
        <f>-F6*Assumptions!B10</f>
        <v>-245678456.3055732</v>
      </c>
    </row>
    <row r="12" spans="1:6" x14ac:dyDescent="0.25">
      <c r="A12" t="s">
        <v>48</v>
      </c>
      <c r="B12" s="18">
        <f>-(B6-Assumptions!B29)*Assumptions!B11</f>
        <v>-60515078.51629199</v>
      </c>
      <c r="C12" s="18">
        <f>-(C6-B6)*Assumptions!B11</f>
        <v>-65346670.97996459</v>
      </c>
      <c r="D12" s="18">
        <f>-(D6-C6)*Assumptions!B11</f>
        <v>-70564023.26263414</v>
      </c>
      <c r="E12" s="18">
        <f>-(E6-D6)*Assumptions!B11</f>
        <v>-76197934.86551474</v>
      </c>
      <c r="F12" s="18">
        <f>-(F6-E6)*Assumptions!B11</f>
        <v>-82281664.35690966</v>
      </c>
    </row>
    <row r="13" spans="1:6" x14ac:dyDescent="0.25">
      <c r="A13" s="19" t="s">
        <v>49</v>
      </c>
      <c r="B13" s="20">
        <f>B9+B10+B11+B12</f>
        <v>579118434.8071382</v>
      </c>
      <c r="C13" s="20">
        <f>C9+C10+C11+C12</f>
        <v>625355907.0833218</v>
      </c>
      <c r="D13" s="20">
        <f>D9+D10+D11+D12</f>
        <v>675285031.5570438</v>
      </c>
      <c r="E13" s="20">
        <f>E9+E10+E11+E12</f>
        <v>729200553.9243102</v>
      </c>
      <c r="F13" s="20">
        <f>F9+F10+F11+F12</f>
        <v>787420752.7115952</v>
      </c>
    </row>
    <row r="14" spans="1:6" x14ac:dyDescent="0.25">
      <c r="A14" t="s">
        <v>50</v>
      </c>
      <c r="B14" s="21">
        <f>1/(1+Assumptions!$B$26)^(1-0.5*Assumptions!$B$32)</f>
        <v>0.9590423044025543</v>
      </c>
      <c r="C14" s="21">
        <f>1/(1+Assumptions!$B$26)^(2-0.5*Assumptions!$B$32)</f>
        <v>0.8820908038146716</v>
      </c>
      <c r="D14" s="21">
        <f>1/(1+Assumptions!$B$26)^(3-0.5*Assumptions!$B$32)</f>
        <v>0.8113137268320288</v>
      </c>
      <c r="E14" s="21">
        <f>1/(1+Assumptions!$B$26)^(4-0.5*Assumptions!$B$32)</f>
        <v>0.7462156509278957</v>
      </c>
      <c r="F14" s="21">
        <f>1/(1+Assumptions!$B$26)^(5-0.5*Assumptions!$B$32)</f>
        <v>0.6863409052180729</v>
      </c>
    </row>
    <row r="15" spans="1:6" x14ac:dyDescent="0.25">
      <c r="A15" s="19" t="s">
        <v>51</v>
      </c>
      <c r="B15" s="20">
        <f>B13*B14</f>
        <v>555399078.2394383</v>
      </c>
      <c r="C15" s="20">
        <f>C13*C14</f>
        <v>551620694.7493805</v>
      </c>
      <c r="D15" s="20">
        <f>D13*D14</f>
        <v>547868015.6264294</v>
      </c>
      <c r="E15" s="20">
        <f>E13*E14</f>
        <v>544140866.0036112</v>
      </c>
      <c r="F15" s="20">
        <f>F13*F14</f>
        <v>540439072.2035725</v>
      </c>
    </row>
    <row r="17" spans="1:2" x14ac:dyDescent="0.25">
      <c r="A17" s="22" t="s">
        <v>52</v>
      </c>
      <c r="B17" s="23">
        <f>SUM(B15:F15)</f>
        <v>2739467726.8224316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787420752.7115952</v>
      </c>
    </row>
    <row r="5" spans="1:2" x14ac:dyDescent="0.25">
      <c r="A5" t="s">
        <v>56</v>
      </c>
      <c r="B5" s="18">
        <f>IF(Assumptions!$B$33=0,B4,B4-Forecast!F11-Forecast!F10-Forecast!F12)</f>
        <v>869702417.0685048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0.14935549558934344</v>
      </c>
    </row>
    <row r="7" spans="1:2" x14ac:dyDescent="0.25">
      <c r="A7" t="s">
        <v>58</v>
      </c>
      <c r="B7" s="18">
        <f>-MAX(Forecast!F9,0)*B6</f>
        <v>-129894835.5165164</v>
      </c>
    </row>
    <row r="8" spans="1:2" x14ac:dyDescent="0.25">
      <c r="A8" t="s">
        <v>59</v>
      </c>
      <c r="B8" s="18">
        <f>IF(OR(Assumptions!$B$33=0,Assumptions!B12&lt;=0),B5,MAX(B5+B7,0))</f>
        <v>739807581.5519884</v>
      </c>
    </row>
    <row r="9" spans="1:2" x14ac:dyDescent="0.25">
      <c r="A9" t="s">
        <v>60</v>
      </c>
      <c r="B9" s="18">
        <f>B8*(1+Assumptions!B12)/(Assumptions!B26-Assumptions!B12)</f>
        <v>12183994108.579548</v>
      </c>
    </row>
    <row r="10" spans="1:2" x14ac:dyDescent="0.25">
      <c r="A10" t="s">
        <v>61</v>
      </c>
      <c r="B10" s="18">
        <f>B9/(1+Assumptions!B26)^(5-0.5*Assumptions!B32)</f>
        <v>8362373545.654154</v>
      </c>
    </row>
    <row r="11" spans="1:2" x14ac:dyDescent="0.25">
      <c r="A11" t="s">
        <v>62</v>
      </c>
      <c r="B11" s="18">
        <f>Forecast!B17+B10</f>
        <v>11101841272.476585</v>
      </c>
    </row>
    <row r="12" spans="1:2" x14ac:dyDescent="0.25">
      <c r="A12" t="s">
        <v>63</v>
      </c>
      <c r="B12" s="18">
        <f>-Assumptions!B30</f>
        <v>-1203413000</v>
      </c>
    </row>
    <row r="13" spans="1:2" x14ac:dyDescent="0.25">
      <c r="A13" t="s">
        <v>64</v>
      </c>
      <c r="B13" s="18">
        <f>B11+B12</f>
        <v>9898428272.476585</v>
      </c>
    </row>
    <row r="14" spans="1:2" x14ac:dyDescent="0.25">
      <c r="A14" s="19" t="s">
        <v>65</v>
      </c>
      <c r="B14" s="24">
        <f>B13/Assumptions!B31</f>
        <v>257.8723009633082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1298229076.4653563</v>
      </c>
    </row>
    <row r="18" spans="1:2" x14ac:dyDescent="0.25">
      <c r="A18" t="s">
        <v>60</v>
      </c>
      <c r="B18" s="18">
        <f>B17*Assumptions!B13</f>
        <v>15653940647.117104</v>
      </c>
    </row>
    <row r="19" spans="1:2" x14ac:dyDescent="0.25">
      <c r="A19" t="s">
        <v>61</v>
      </c>
      <c r="B19" s="18">
        <f>B18/(1+Assumptions!B26)^(5-0.5*Assumptions!B32)</f>
        <v>10743939793.972338</v>
      </c>
    </row>
    <row r="20" spans="1:2" x14ac:dyDescent="0.25">
      <c r="A20" t="s">
        <v>62</v>
      </c>
      <c r="B20" s="18">
        <f>Forecast!B17+B19</f>
        <v>13483407520.79477</v>
      </c>
    </row>
    <row r="21" spans="1:2" x14ac:dyDescent="0.25">
      <c r="A21" t="s">
        <v>63</v>
      </c>
      <c r="B21" s="18">
        <f>-Assumptions!B30</f>
        <v>-1203413000</v>
      </c>
    </row>
    <row r="22" spans="1:2" x14ac:dyDescent="0.25">
      <c r="A22" t="s">
        <v>64</v>
      </c>
      <c r="B22" s="18">
        <f>B20+B21</f>
        <v>12279994520.79477</v>
      </c>
    </row>
    <row r="23" spans="1:2" x14ac:dyDescent="0.25">
      <c r="A23" s="19" t="s">
        <v>65</v>
      </c>
      <c r="B23" s="25">
        <f>B22/Assumptions!B31</f>
        <v>319.91649135846734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283.83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257.8723009633082</v>
      </c>
    </row>
    <row r="29" spans="1:2" x14ac:dyDescent="0.25">
      <c r="A29" s="19" t="s">
        <v>73</v>
      </c>
      <c r="B29" s="12">
        <f>B28/B26-1</f>
        <v>-0.09145509296653553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0.067238</v>
      </c>
      <c r="B5" s="31">
        <v>342.46108157815655</v>
      </c>
      <c r="C5" s="31">
        <v>364.8391334776875</v>
      </c>
      <c r="D5" s="31">
        <v>392.395711778025</v>
      </c>
      <c r="E5" s="31">
        <v>427.2168011188409</v>
      </c>
      <c r="F5" s="31">
        <v>472.68250155619245</v>
      </c>
    </row>
    <row r="6" spans="1:6" x14ac:dyDescent="0.25">
      <c r="A6" s="30">
        <v>0.077238</v>
      </c>
      <c r="B6" s="31">
        <v>282.36347985490704</v>
      </c>
      <c r="C6" s="31">
        <v>296.0480504954472</v>
      </c>
      <c r="D6" s="31">
        <v>312.25958116175764</v>
      </c>
      <c r="E6" s="31">
        <v>331.8004851733385</v>
      </c>
      <c r="F6" s="31">
        <v>355.85312438868345</v>
      </c>
    </row>
    <row r="7" spans="1:6" x14ac:dyDescent="0.25">
      <c r="A7" s="30">
        <v>0.087238</v>
      </c>
      <c r="B7" s="31">
        <v>238.93521392443603</v>
      </c>
      <c r="C7" s="31">
        <v>247.73338633886445</v>
      </c>
      <c r="D7" s="32">
        <v>257.8705570566178</v>
      </c>
      <c r="E7" s="31">
        <v>269.6976288791546</v>
      </c>
      <c r="F7" s="31">
        <v>283.6998523247133</v>
      </c>
    </row>
    <row r="8" spans="1:6" x14ac:dyDescent="0.25">
      <c r="A8" s="30">
        <v>0.097238</v>
      </c>
      <c r="B8" s="31">
        <v>206.09406233192593</v>
      </c>
      <c r="C8" s="31">
        <v>211.94137721347533</v>
      </c>
      <c r="D8" s="31">
        <v>218.53643556472377</v>
      </c>
      <c r="E8" s="31">
        <v>226.04605008154994</v>
      </c>
      <c r="F8" s="31">
        <v>234.69063823372568</v>
      </c>
    </row>
    <row r="9" spans="1:6" x14ac:dyDescent="0.25">
      <c r="A9" s="30">
        <v>0.107238</v>
      </c>
      <c r="B9" s="31">
        <v>180.39549107175569</v>
      </c>
      <c r="C9" s="31">
        <v>184.36520429929604</v>
      </c>
      <c r="D9" s="31">
        <v>188.7655919222158</v>
      </c>
      <c r="E9" s="31">
        <v>193.680293029185</v>
      </c>
      <c r="F9" s="31">
        <v>199.2161032438468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2321748000</v>
      </c>
      <c r="C5" s="18">
        <v>2203056000</v>
      </c>
      <c r="D5" s="18">
        <v>2085508000</v>
      </c>
      <c r="E5" s="18">
        <v>1843892000</v>
      </c>
      <c r="F5" s="8" t="s">
        <v>84</v>
      </c>
    </row>
    <row r="6" spans="1:6" x14ac:dyDescent="0.25">
      <c r="A6" t="s">
        <v>44</v>
      </c>
      <c r="B6" s="18">
        <v>748303000</v>
      </c>
      <c r="C6" s="18">
        <v>701299000</v>
      </c>
      <c r="D6" s="18">
        <v>629207000</v>
      </c>
      <c r="E6" s="18">
        <v>539754000</v>
      </c>
      <c r="F6" s="8" t="s">
        <v>85</v>
      </c>
    </row>
    <row r="7" spans="1:6" x14ac:dyDescent="0.25">
      <c r="A7" t="s">
        <v>86</v>
      </c>
      <c r="B7" s="18">
        <v>188673000</v>
      </c>
      <c r="C7" s="18">
        <v>155594000</v>
      </c>
      <c r="D7" s="18">
        <v>137728000</v>
      </c>
      <c r="E7" s="18">
        <v>129715000</v>
      </c>
      <c r="F7" s="8" t="s">
        <v>87</v>
      </c>
    </row>
    <row r="8" spans="1:6" x14ac:dyDescent="0.25">
      <c r="A8" t="s">
        <v>88</v>
      </c>
      <c r="B8" s="18">
        <v>108806000</v>
      </c>
      <c r="C8" s="18">
        <v>85681000</v>
      </c>
      <c r="D8" s="18">
        <v>60786000</v>
      </c>
      <c r="E8" s="18">
        <v>51156000</v>
      </c>
      <c r="F8" s="8" t="s">
        <v>89</v>
      </c>
    </row>
    <row r="9" spans="1:6" x14ac:dyDescent="0.25">
      <c r="A9" t="s">
        <v>90</v>
      </c>
      <c r="B9" s="18">
        <v>105766000</v>
      </c>
      <c r="C9" s="18">
        <v>38374000</v>
      </c>
      <c r="D9" s="18">
        <v>29257000</v>
      </c>
      <c r="E9" s="18">
        <v>79644000</v>
      </c>
      <c r="F9" s="8" t="s">
        <v>91</v>
      </c>
    </row>
    <row r="10" spans="1:6" x14ac:dyDescent="0.25">
      <c r="A10" t="s">
        <v>92</v>
      </c>
      <c r="B10" s="18">
        <v>1558509000</v>
      </c>
      <c r="C10" s="18">
        <v>1574567000</v>
      </c>
      <c r="D10" s="18">
        <v>1839921000</v>
      </c>
      <c r="E10" s="18">
        <v>2220231000</v>
      </c>
      <c r="F10" s="8" t="s">
        <v>93</v>
      </c>
    </row>
    <row r="11" spans="1:6" x14ac:dyDescent="0.25">
      <c r="A11" t="s">
        <v>94</v>
      </c>
      <c r="B11" s="18">
        <v>355096000</v>
      </c>
      <c r="C11" s="18">
        <v>492598000</v>
      </c>
      <c r="D11" s="18">
        <v>457654000</v>
      </c>
      <c r="E11" s="18">
        <v>536492000</v>
      </c>
      <c r="F11" s="8" t="s">
        <v>95</v>
      </c>
    </row>
    <row r="12" spans="1:6" x14ac:dyDescent="0.25">
      <c r="A12" t="s">
        <v>32</v>
      </c>
      <c r="B12" s="34">
        <v>38385000</v>
      </c>
      <c r="C12" s="34">
        <v>38618000</v>
      </c>
      <c r="D12" s="34">
        <v>38898000</v>
      </c>
      <c r="E12" s="34">
        <v>38736000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2026-09-19T00:06:30Z</dcterms:modified>
</cp:coreProperties>
</file>