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<sst xmlns="http://schemas.openxmlformats.org/spreadsheetml/2006/main" count="119" uniqueCount="106">
  <si>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FedEx Corporation (FDX)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</si>
  <si>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</si>
  <si>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</si>
  <si>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</si>
  <si>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</si>
  <si>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</si>
  <si>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</si>
  <si>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</si>
  <si>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</si>
  <si>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</si>
  <si>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</si>
  <si>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</si>
  <si>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</si>
  <si>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</si>
  <si>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</si>
  <si>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</si>
  <si>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</si>
  <si>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</si>
  <si>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</si>
  <si>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</si>
  <si>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</si>
  <si>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</si>
  <si>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</si>
  <si>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</si>
  <si>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6.8x interest cover. Book interest / average debt was lower, at 2.4%.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</si>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</sst>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-0.026983633868243206</v>
      </c>
    </row>
    <row r="7" spans="1:2" x14ac:dyDescent="0.25">
      <c r="A7" t="s">
        <v>4</v>
      </c>
      <c r="B7" s="5">
        <v>0.06738822240573167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0.04745685758713571</v>
      </c>
    </row>
    <row r="10" spans="1:3" x14ac:dyDescent="0.25">
      <c r="A10" t="s">
        <v>7</v>
      </c>
      <c r="B10" s="5">
        <v>0.053459435252613624</v>
      </c>
      <c r="C10" s="6" t="s">
        <v>8</v>
      </c>
    </row>
    <row r="11" spans="1:2" x14ac:dyDescent="0.25">
      <c r="A11" t="s">
        <v>9</v>
      </c>
      <c r="B11" s="5">
        <v>0.08990491639683139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9.370631080058224</v>
      </c>
    </row>
    <row r="14" spans="1:3" x14ac:dyDescent="0.25">
      <c r="A14" t="s">
        <v>12</v>
      </c>
      <c r="B14" s="5">
        <v>0.09457948992764538</v>
      </c>
      <c r="C14" s="6" t="s">
        <v>13</v>
      </c>
    </row>
    <row r="15" spans="1:3" x14ac:dyDescent="0.25">
      <c r="A15" t="s">
        <v>14</v>
      </c>
      <c r="B15" s="5">
        <v>0.04745685758713571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1.21976</v>
      </c>
      <c r="C19" s="6" t="s">
        <v>21</v>
      </c>
    </row>
    <row r="20" spans="1:2" x14ac:dyDescent="0.25">
      <c r="A20" t="s">
        <v>22</v>
      </c>
      <c r="B20" s="9">
        <f>B17+B19*B18</f>
        <v>0.100535848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73369976832</v>
      </c>
    </row>
    <row r="23" spans="1:2" x14ac:dyDescent="0.25">
      <c r="A23" t="s">
        <v>26</v>
      </c>
      <c r="B23" s="10">
        <v>42943000000</v>
      </c>
    </row>
    <row r="24" spans="1:2" x14ac:dyDescent="0.25">
      <c r="A24" t="s">
        <v>27</v>
      </c>
      <c r="B24" s="9">
        <f>B22/(B22+B23)</f>
        <v>0.6307978596229554</v>
      </c>
    </row>
    <row r="25" spans="1:2" x14ac:dyDescent="0.25">
      <c r="A25" t="s">
        <v>28</v>
      </c>
      <c r="B25" s="9">
        <f>1-B24</f>
        <v>0.3692021403770446</v>
      </c>
    </row>
    <row r="26" spans="1:2" x14ac:dyDescent="0.25">
      <c r="A26" t="s">
        <v>29</v>
      </c>
      <c r="B26" s="11">
        <f>B24*B20+B25*B21*(1-B8)</f>
        <v>0.07929629570625857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94720000000</v>
      </c>
      <c r="C29" s="6" t="s">
        <v>32</v>
      </c>
    </row>
    <row r="30" spans="1:2" x14ac:dyDescent="0.25">
      <c r="A30" t="s">
        <v>33</v>
      </c>
      <c r="B30" s="10">
        <v>29632000000</v>
      </c>
    </row>
    <row r="31" spans="1:2" x14ac:dyDescent="0.25">
      <c r="A31" t="s">
        <v>34</v>
      </c>
      <c r="B31" s="12">
        <v>239000000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-0.026983633868243206</v>
      </c>
      <c r="C5" s="5">
        <v>0.038156544802187</v>
      </c>
      <c r="D5" s="5">
        <v>0.036511976701913626</v>
      </c>
      <c r="E5" s="5">
        <v>0.03486740860164025</v>
      </c>
      <c r="F5" s="5">
        <v>0.033222840501366875</v>
      </c>
      <c r="G5" s="5">
        <v>0.031578272401093496</v>
      </c>
      <c r="H5" s="5">
        <v>0.029933704300820124</v>
      </c>
      <c r="I5" s="5">
        <v>0.028289136200546752</v>
      </c>
      <c r="J5" s="5">
        <v>0.026644568100273377</v>
      </c>
      <c r="K5" s="5">
        <v>0.025</v>
      </c>
    </row>
    <row r="6" spans="1:11" x14ac:dyDescent="0.25">
      <c r="A6" t="s">
        <v>50</v>
      </c>
      <c r="B6" s="18">
        <f>Assumptions!B29*(1+B5)</f>
        <v>92164110200</v>
      </c>
      <c r="C6" s="18">
        <f>B6*(1+C5)</f>
        <v>95680774200</v>
      </c>
      <c r="D6" s="18">
        <f>C6*(1+D5)</f>
        <v>99174268398.41145</v>
      </c>
      <c r="E6" s="18">
        <f>D6*(1+E5)</f>
        <v>102632218137.42761</v>
      </c>
      <c r="F6" s="18">
        <f>E6*(1+F5)</f>
        <v>106041951950.90886</v>
      </c>
      <c r="G6" s="18">
        <f>F6*(1+G5)</f>
        <v>109390573595.55833</v>
      </c>
      <c r="H6" s="18">
        <f>G6*(1+H5)</f>
        <v>112665038678.86488</v>
      </c>
      <c r="I6" s="18">
        <f>H6*(1+I5)</f>
        <v>115852235303.09117</v>
      </c>
      <c r="J6" s="18">
        <f>I6*(1+J5)</f>
        <v>118939068076.19328</v>
      </c>
      <c r="K6" s="18">
        <f>J6*(1+K5)</f>
        <v>121912544778.0981</v>
      </c>
    </row>
    <row r="7" spans="1:11" x14ac:dyDescent="0.25">
      <c r="A7" t="s">
        <v>4</v>
      </c>
      <c r="B7" s="9">
        <f>Assumptions!B7</f>
        <v>0.06738822240573167</v>
      </c>
      <c r="C7" s="9">
        <f>Assumptions!B7</f>
        <v>0.06738822240573167</v>
      </c>
      <c r="D7" s="9">
        <f>Assumptions!B7</f>
        <v>0.06738822240573167</v>
      </c>
      <c r="E7" s="9">
        <f>Assumptions!B7</f>
        <v>0.06738822240573167</v>
      </c>
      <c r="F7" s="9">
        <f>Assumptions!B7</f>
        <v>0.06738822240573167</v>
      </c>
      <c r="G7" s="9">
        <f>Assumptions!B7</f>
        <v>0.06738822240573167</v>
      </c>
      <c r="H7" s="9">
        <f>Assumptions!B7</f>
        <v>0.06738822240573167</v>
      </c>
      <c r="I7" s="9">
        <f>Assumptions!B7</f>
        <v>0.06738822240573167</v>
      </c>
      <c r="J7" s="9">
        <f>Assumptions!B7</f>
        <v>0.06738822240573167</v>
      </c>
      <c r="K7" s="9">
        <f>Assumptions!B7</f>
        <v>0.06738822240573167</v>
      </c>
    </row>
    <row r="8" spans="1:11" x14ac:dyDescent="0.25">
      <c r="A8" t="s">
        <v>51</v>
      </c>
      <c r="B8" s="18">
        <f>B6*B7</f>
        <v>6210775555.983963</v>
      </c>
      <c r="C8" s="18">
        <f>C6*C7</f>
        <v>6447757291.742192</v>
      </c>
      <c r="D8" s="18">
        <f>D6*D7</f>
        <v>6683177655.757876</v>
      </c>
      <c r="E8" s="18">
        <f>E6*E7</f>
        <v>6916202741.838539</v>
      </c>
      <c r="F8" s="18">
        <f>F6*F7</f>
        <v>7145978642.405757</v>
      </c>
      <c r="G8" s="18">
        <f>G6*G7</f>
        <v>7371636302.548043</v>
      </c>
      <c r="H8" s="18">
        <f>H6*H7</f>
        <v>7592296683.841707</v>
      </c>
      <c r="I8" s="18">
        <f>I6*I7</f>
        <v>7807076198.805866</v>
      </c>
      <c r="J8" s="18">
        <f>J6*J7</f>
        <v>8015092372.248972</v>
      </c>
      <c r="K8" s="18">
        <f>K6*K7</f>
        <v>8215469681.555196</v>
      </c>
    </row>
    <row r="9" spans="1:11" x14ac:dyDescent="0.25">
      <c r="A9" t="s">
        <v>52</v>
      </c>
      <c r="B9" s="18">
        <f>B8*(1-Assumptions!B8)</f>
        <v>4906512689.227331</v>
      </c>
      <c r="C9" s="18">
        <f>C8*(1-Assumptions!B8)</f>
        <v>5093728260.476332</v>
      </c>
      <c r="D9" s="18">
        <f>D8*(1-Assumptions!B8)</f>
        <v>5279710348.048722</v>
      </c>
      <c r="E9" s="18">
        <f>E8*(1-Assumptions!B8)</f>
        <v>5463800166.052446</v>
      </c>
      <c r="F9" s="18">
        <f>F8*(1-Assumptions!B8)</f>
        <v>5645323127.500548</v>
      </c>
      <c r="G9" s="18">
        <f>G8*(1-Assumptions!B8)</f>
        <v>5823592679.012955</v>
      </c>
      <c r="H9" s="18">
        <f>H8*(1-Assumptions!B8)</f>
        <v>5997914380.234949</v>
      </c>
      <c r="I9" s="18">
        <f>I8*(1-Assumptions!B8)</f>
        <v>6167590197.056635</v>
      </c>
      <c r="J9" s="18">
        <f>J8*(1-Assumptions!B8)</f>
        <v>6331922974.076688</v>
      </c>
      <c r="K9" s="18">
        <f>K8*(1-Assumptions!B8)</f>
        <v>6490221048.428605</v>
      </c>
    </row>
    <row r="10" spans="1:11" x14ac:dyDescent="0.25">
      <c r="A10" t="s">
        <v>53</v>
      </c>
      <c r="B10" s="18">
        <f>B6*Assumptions!B9</f>
        <v>4373819052.406482</v>
      </c>
      <c r="C10" s="18">
        <f>C6*Assumptions!B9</f>
        <v>4540708875.036289</v>
      </c>
      <c r="D10" s="18">
        <f>D6*Assumptions!B9</f>
        <v>4706499131.691786</v>
      </c>
      <c r="E10" s="18">
        <f>E6*Assumptions!B9</f>
        <v>4870602559.999749</v>
      </c>
      <c r="F10" s="18">
        <f>F6*Assumptions!B9</f>
        <v>5032417811.99617</v>
      </c>
      <c r="G10" s="18">
        <f>G6*Assumptions!B9</f>
        <v>5191332872.4995</v>
      </c>
      <c r="H10" s="18">
        <f>H6*Assumptions!B9</f>
        <v>5346728695.632028</v>
      </c>
      <c r="I10" s="18">
        <f>I6*Assumptions!B9</f>
        <v>5497983031.930134</v>
      </c>
      <c r="J10" s="18">
        <f>J6*Assumptions!B9</f>
        <v>5644474415.238544</v>
      </c>
      <c r="K10" s="18">
        <f>K6*Assumptions!B9</f>
        <v>5785586275.619507</v>
      </c>
    </row>
    <row r="11" spans="1:11" x14ac:dyDescent="0.25">
      <c r="A11" t="s">
        <v>54</v>
      </c>
      <c r="B11" s="18">
        <f>-B6*B19</f>
        <v>-4927041281.851646</v>
      </c>
      <c r="C11" s="18">
        <f>-C6*C19</f>
        <v>-5200827189.50215</v>
      </c>
      <c r="D11" s="18">
        <f>-D6*D19</f>
        <v>-5479638961.181659</v>
      </c>
      <c r="E11" s="18">
        <f>-E6*E19</f>
        <v>-5762719447.571007</v>
      </c>
      <c r="F11" s="18">
        <f>-F6*F19</f>
        <v>-6049250187.382252</v>
      </c>
      <c r="G11" s="18">
        <f>-G6*G19</f>
        <v>-6338354250.432715</v>
      </c>
      <c r="H11" s="18">
        <f>-H6*H19</f>
        <v>-6629099738.68562</v>
      </c>
      <c r="I11" s="18">
        <f>-I6*I19</f>
        <v>-6920503939.417665</v>
      </c>
      <c r="J11" s="18">
        <f>-J6*J19</f>
        <v>-7211538116.361722</v>
      </c>
      <c r="K11" s="18">
        <f>-K6*K19</f>
        <v>-7501132916.173848</v>
      </c>
    </row>
    <row r="12" spans="1:11" x14ac:dyDescent="0.25">
      <c r="A12" t="s">
        <v>55</v>
      </c>
      <c r="B12" s="18">
        <f>-(B6-Assumptions!B29)*Assumptions!B11</f>
        <v>229787058.7885141</v>
      </c>
      <c r="C12" s="18">
        <f>-(C6-B6)*Assumptions!B11</f>
        <v>-316165382.9157466</v>
      </c>
      <c r="D12" s="18">
        <f>-(D6-C6)*Assumptions!B11</f>
        <v>-314082303.8409972</v>
      </c>
      <c r="E12" s="18">
        <f>-(E6-D6)*Assumptions!B11</f>
        <v>-310886682.1906927</v>
      </c>
      <c r="F12" s="18">
        <f>-(F6-E6)*Assumptions!B11</f>
        <v>-306551833.4364806</v>
      </c>
      <c r="G12" s="18">
        <f>-(G6-F6)*Assumptions!B11</f>
        <v>-301057549.0068311</v>
      </c>
      <c r="H12" s="18">
        <f>-(H6-G6)*Assumptions!B11</f>
        <v>-294390509.55901885</v>
      </c>
      <c r="I12" s="18">
        <f>-(I6-H6)*Assumptions!B11</f>
        <v>-286544646.04132766</v>
      </c>
      <c r="J12" s="18">
        <f>-(J6-I6)*Assumptions!B11</f>
        <v>-277521442.39674455</v>
      </c>
      <c r="K12" s="18">
        <f>-(K6-J6)*Assumptions!B11</f>
        <v>-267330174.2926784</v>
      </c>
    </row>
    <row r="13" spans="1:11" x14ac:dyDescent="0.25">
      <c r="A13" s="19" t="s">
        <v>56</v>
      </c>
      <c r="B13" s="20">
        <f>B9+B10+B11+B12</f>
        <v>4583077518.57068</v>
      </c>
      <c r="C13" s="20">
        <f>C9+C10+C11+C12</f>
        <v>4117444563.0947247</v>
      </c>
      <c r="D13" s="20">
        <f>D9+D10+D11+D12</f>
        <v>4192488214.717853</v>
      </c>
      <c r="E13" s="20">
        <f>E9+E10+E11+E12</f>
        <v>4260796596.290497</v>
      </c>
      <c r="F13" s="20">
        <f>F9+F10+F11+F12</f>
        <v>4321938918.677987</v>
      </c>
      <c r="G13" s="20">
        <f>G9+G10+G11+G12</f>
        <v>4375513752.072908</v>
      </c>
      <c r="H13" s="20">
        <f>H9+H10+H11+H12</f>
        <v>4421152827.622338</v>
      </c>
      <c r="I13" s="20">
        <f>I9+I10+I11+I12</f>
        <v>4458524643.527777</v>
      </c>
      <c r="J13" s="20">
        <f>J9+J10+J11+J12</f>
        <v>4487337830.556765</v>
      </c>
      <c r="K13" s="20">
        <f>K9+K10+K11+K12</f>
        <v>4507344233.581584</v>
      </c>
    </row>
    <row r="14" spans="1:11" x14ac:dyDescent="0.25">
      <c r="A14" t="s">
        <v>57</v>
      </c>
      <c r="B14" s="21">
        <f>1/(1+Assumptions!$B$26)^(1-0.5*Assumptions!$B$32)</f>
        <v>0.9625640925656759</v>
      </c>
      <c r="C14" s="21">
        <f>1/(1+Assumptions!$B$26)^(2-0.5*Assumptions!$B$32)</f>
        <v>0.8918441547469625</v>
      </c>
      <c r="D14" s="21">
        <f>1/(1+Assumptions!$B$26)^(3-0.5*Assumptions!$B$32)</f>
        <v>0.8263200367637386</v>
      </c>
      <c r="E14" s="21">
        <f>1/(1+Assumptions!$B$26)^(4-0.5*Assumptions!$B$32)</f>
        <v>0.765609999822171</v>
      </c>
      <c r="F14" s="21">
        <f>1/(1+Assumptions!$B$26)^(5-0.5*Assumptions!$B$32)</f>
        <v>0.7093603516179765</v>
      </c>
      <c r="G14" s="21">
        <f>1/(1+Assumptions!$B$26)^(6-0.5*Assumptions!$B$32)</f>
        <v>0.6572433857505205</v>
      </c>
      <c r="H14" s="21">
        <f>1/(1+Assumptions!$B$26)^(7-0.5*Assumptions!$B$32)</f>
        <v>0.6089554725289227</v>
      </c>
      <c r="I14" s="21">
        <f>1/(1+Assumptions!$B$26)^(8-0.5*Assumptions!$B$32)</f>
        <v>0.5642152900473366</v>
      </c>
      <c r="J14" s="21">
        <f>1/(1+Assumptions!$B$26)^(9-0.5*Assumptions!$B$32)</f>
        <v>0.5227621852237817</v>
      </c>
      <c r="K14" s="21">
        <f>1/(1+Assumptions!$B$26)^(10-0.5*Assumptions!$B$32)</f>
        <v>0.48435465525405325</v>
      </c>
    </row>
    <row r="15" spans="1:11" x14ac:dyDescent="0.25">
      <c r="A15" s="19" t="s">
        <v>58</v>
      </c>
      <c r="B15" s="20">
        <f>B13*B14</f>
        <v>4411505852.8211355</v>
      </c>
      <c r="C15" s="20">
        <f>C13*C14</f>
        <v>3672118866.090691</v>
      </c>
      <c r="D15" s="20">
        <f>D13*D14</f>
        <v>3464337015.717197</v>
      </c>
      <c r="E15" s="20">
        <f>E13*E14</f>
        <v>3262108481.3282743</v>
      </c>
      <c r="F15" s="20">
        <f>F13*F14</f>
        <v>3065812111.024834</v>
      </c>
      <c r="G15" s="20">
        <f>G13*G14</f>
        <v>2875777472.810362</v>
      </c>
      <c r="H15" s="20">
        <f>H13*H14</f>
        <v>2692285209.2673435</v>
      </c>
      <c r="I15" s="20">
        <f>I13*I14</f>
        <v>2515567774.9312224</v>
      </c>
      <c r="J15" s="20">
        <f>J13*J14</f>
        <v>2345810530.1391983</v>
      </c>
      <c r="K15" s="20">
        <f>K13*K14</f>
        <v>2183153162.367753</v>
      </c>
    </row>
    <row r="17" spans="1:2" x14ac:dyDescent="0.25">
      <c r="A17" s="22" t="s">
        <v>59</v>
      </c>
      <c r="B17" s="23">
        <f>SUM(B15:K15)</f>
        <v>30488476476.49801</v>
      </c>
    </row>
    <row r="19" spans="1:11" x14ac:dyDescent="0.25">
      <c r="A19" t="s">
        <v>7</v>
      </c>
      <c r="B19" s="9">
        <f>Assumptions!$B$10+($B$20-Assumptions!$B$10)*0/9</f>
        <v>0.053459435252613624</v>
      </c>
      <c r="C19" s="9">
        <f>Assumptions!$B$10+($B$20-Assumptions!$B$10)*1/9</f>
        <v>0.05435603163735844</v>
      </c>
      <c r="D19" s="9">
        <f>Assumptions!$B$10+($B$20-Assumptions!$B$10)*2/9</f>
        <v>0.05525262802210326</v>
      </c>
      <c r="E19" s="9">
        <f>Assumptions!$B$10+($B$20-Assumptions!$B$10)*3/9</f>
        <v>0.05614922440684808</v>
      </c>
      <c r="F19" s="9">
        <f>Assumptions!$B$10+($B$20-Assumptions!$B$10)*4/9</f>
        <v>0.0570458207915929</v>
      </c>
      <c r="G19" s="9">
        <f>Assumptions!$B$10+($B$20-Assumptions!$B$10)*5/9</f>
        <v>0.057942417176337725</v>
      </c>
      <c r="H19" s="9">
        <f>Assumptions!$B$10+($B$20-Assumptions!$B$10)*6/9</f>
        <v>0.058839013561082544</v>
      </c>
      <c r="I19" s="9">
        <f>Assumptions!$B$10+($B$20-Assumptions!$B$10)*7/9</f>
        <v>0.05973560994582736</v>
      </c>
      <c r="J19" s="9">
        <f>Assumptions!$B$10+($B$20-Assumptions!$B$10)*8/9</f>
        <v>0.06063220633057218</v>
      </c>
      <c r="K19" s="9">
        <f>Assumptions!$B$10+($B$20-Assumptions!$B$10)*9/9</f>
        <v>0.061528802715317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0.061528802715317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4507344233.581584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6490221048.428605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0.2643279216151974</v>
      </c>
    </row>
    <row r="7" spans="1:2" x14ac:dyDescent="0.25">
      <c r="A7" t="s">
        <v>66</v>
      </c>
      <c r="B7" s="18">
        <f>-MAX(B5,0)*B6</f>
        <v>-1715546640.5543406</v>
      </c>
    </row>
    <row r="8" spans="1:2" x14ac:dyDescent="0.25">
      <c r="A8" t="s">
        <v>67</v>
      </c>
      <c r="B8" s="18">
        <f>IF(OR(Assumptions!$B$33=0,Assumptions!B12&lt;=0),B5,MAX(B5+B7,0))</f>
        <v>4774674407.874265</v>
      </c>
    </row>
    <row r="9" spans="1:2" x14ac:dyDescent="0.25">
      <c r="A9" t="s">
        <v>68</v>
      </c>
      <c r="B9" s="18">
        <f>B8*(1+Assumptions!B12)/(Assumptions!B26-Assumptions!B12)</f>
        <v>90135822424.199</v>
      </c>
    </row>
    <row r="10" spans="1:2" x14ac:dyDescent="0.25">
      <c r="A10" t="s">
        <v>69</v>
      </c>
      <c r="B10" s="18">
        <f>B9/(1+Assumptions!B26)^(10-0.5*Assumptions!B32)</f>
        <v>43657705196.31347</v>
      </c>
    </row>
    <row r="11" spans="1:2" x14ac:dyDescent="0.25">
      <c r="A11" t="s">
        <v>70</v>
      </c>
      <c r="B11" s="18">
        <f>Forecast!B17+B10</f>
        <v>74146181672.81148</v>
      </c>
    </row>
    <row r="12" spans="1:2" x14ac:dyDescent="0.25">
      <c r="A12" t="s">
        <v>71</v>
      </c>
      <c r="B12" s="18">
        <f>-Assumptions!B30</f>
        <v>-29632000000</v>
      </c>
    </row>
    <row r="13" spans="1:2" x14ac:dyDescent="0.25">
      <c r="A13" t="s">
        <v>72</v>
      </c>
      <c r="B13" s="18">
        <f>B11+B12</f>
        <v>44514181672.81148</v>
      </c>
    </row>
    <row r="14" spans="1:2" x14ac:dyDescent="0.25">
      <c r="A14" s="19" t="s">
        <v>73</v>
      </c>
      <c r="B14" s="24">
        <f>B13/Assumptions!B31</f>
        <v>186.25180616239112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14001055957.174702</v>
      </c>
    </row>
    <row r="18" spans="1:2" x14ac:dyDescent="0.25">
      <c r="A18" t="s">
        <v>68</v>
      </c>
      <c r="B18" s="18">
        <f>B17*Assumptions!B13</f>
        <v>131198730105.93561</v>
      </c>
    </row>
    <row r="19" spans="1:2" x14ac:dyDescent="0.25">
      <c r="A19" t="s">
        <v>69</v>
      </c>
      <c r="B19" s="18">
        <f>B18/(1+Assumptions!B26)^(10-0.5*Assumptions!B32)</f>
        <v>63546715690.23002</v>
      </c>
    </row>
    <row r="20" spans="1:2" x14ac:dyDescent="0.25">
      <c r="A20" t="s">
        <v>70</v>
      </c>
      <c r="B20" s="18">
        <f>Forecast!B17+B19</f>
        <v>94035192166.72803</v>
      </c>
    </row>
    <row r="21" spans="1:2" x14ac:dyDescent="0.25">
      <c r="A21" t="s">
        <v>71</v>
      </c>
      <c r="B21" s="18">
        <f>-Assumptions!B30</f>
        <v>-29632000000</v>
      </c>
    </row>
    <row r="22" spans="1:2" x14ac:dyDescent="0.25">
      <c r="A22" t="s">
        <v>72</v>
      </c>
      <c r="B22" s="18">
        <f>B20+B21</f>
        <v>64403192166.72803</v>
      </c>
    </row>
    <row r="23" spans="1:2" x14ac:dyDescent="0.25">
      <c r="A23" s="19" t="s">
        <v>73</v>
      </c>
      <c r="B23" s="25">
        <f>B22/Assumptions!B31</f>
        <v>269.4694232917491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313.28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186.25180616239112</v>
      </c>
    </row>
    <row r="29" spans="1:2" x14ac:dyDescent="0.25">
      <c r="A29" s="19" t="s">
        <v>81</v>
      </c>
      <c r="B29" s="11">
        <f>B28/B26-1</f>
        <v>-0.405478146825871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0.059296</v>
      </c>
      <c r="B5" s="31">
        <v>326.6713564940289</v>
      </c>
      <c r="C5" s="31">
        <v>340.82678844992523</v>
      </c>
      <c r="D5" s="31">
        <v>360.1822104056934</v>
      </c>
      <c r="E5" s="31">
        <v>387.400096760503</v>
      </c>
      <c r="F5" s="31">
        <v>427.33461964086143</v>
      </c>
    </row>
    <row r="6" spans="1:6" x14ac:dyDescent="0.25">
      <c r="A6" s="30">
        <v>0.069296</v>
      </c>
      <c r="B6" s="31">
        <v>243.4597375656018</v>
      </c>
      <c r="C6" s="31">
        <v>247.65712068590676</v>
      </c>
      <c r="D6" s="31">
        <v>253.58669213502344</v>
      </c>
      <c r="E6" s="31">
        <v>261.90965979497986</v>
      </c>
      <c r="F6" s="31">
        <v>273.6728204689776</v>
      </c>
    </row>
    <row r="7" spans="1:6" x14ac:dyDescent="0.25">
      <c r="A7" s="30">
        <v>0.079296</v>
      </c>
      <c r="B7" s="31">
        <v>186.25562667486068</v>
      </c>
      <c r="C7" s="31">
        <v>185.97748054995006</v>
      </c>
      <c r="D7" s="32">
        <v>186.25343059277017</v>
      </c>
      <c r="E7" s="31">
        <v>187.2520795807464</v>
      </c>
      <c r="F7" s="31">
        <v>189.2181558003457</v>
      </c>
    </row>
    <row r="8" spans="1:6" x14ac:dyDescent="0.25">
      <c r="A8" s="30">
        <v>0.089296</v>
      </c>
      <c r="B8" s="31">
        <v>144.5472664179243</v>
      </c>
      <c r="C8" s="31">
        <v>142.1486079368249</v>
      </c>
      <c r="D8" s="31">
        <v>139.86070302435277</v>
      </c>
      <c r="E8" s="31">
        <v>137.71156880694835</v>
      </c>
      <c r="F8" s="31">
        <v>135.73954255487124</v>
      </c>
    </row>
    <row r="9" spans="1:6" x14ac:dyDescent="0.25">
      <c r="A9" s="30">
        <v>0.099296</v>
      </c>
      <c r="B9" s="31">
        <v>114.31708345071092</v>
      </c>
      <c r="C9" s="31">
        <v>111.51029151695009</v>
      </c>
      <c r="D9" s="31">
        <v>108.7034995831892</v>
      </c>
      <c r="E9" s="31">
        <v>105.89670764942834</v>
      </c>
      <c r="F9" s="31">
        <v>103.08991571566747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94720000000</v>
      </c>
      <c r="C5" s="18">
        <v>87926000000</v>
      </c>
      <c r="D5" s="18">
        <v>87693000000</v>
      </c>
      <c r="E5" s="18">
        <v>90155000000</v>
      </c>
      <c r="F5" s="6" t="s">
        <v>91</v>
      </c>
    </row>
    <row r="6" spans="1:6" x14ac:dyDescent="0.25">
      <c r="A6" t="s">
        <v>51</v>
      </c>
      <c r="B6" s="18">
        <v>6623000000</v>
      </c>
      <c r="C6" s="18">
        <v>6032000000</v>
      </c>
      <c r="D6" s="18">
        <v>6298000000</v>
      </c>
      <c r="E6" s="18">
        <v>5338000000</v>
      </c>
      <c r="F6" s="6" t="s">
        <v>92</v>
      </c>
    </row>
    <row r="7" spans="1:6" x14ac:dyDescent="0.25">
      <c r="A7" t="s">
        <v>93</v>
      </c>
      <c r="B7" s="18">
        <v>4369000000</v>
      </c>
      <c r="C7" s="18">
        <v>4264000000</v>
      </c>
      <c r="D7" s="18">
        <v>4287000000</v>
      </c>
      <c r="E7" s="18">
        <v>4176000000</v>
      </c>
      <c r="F7" s="6" t="s">
        <v>94</v>
      </c>
    </row>
    <row r="8" spans="1:6" x14ac:dyDescent="0.25">
      <c r="A8" t="s">
        <v>95</v>
      </c>
      <c r="B8" s="18">
        <v>3809000000</v>
      </c>
      <c r="C8" s="18">
        <v>4055000000</v>
      </c>
      <c r="D8" s="18">
        <v>5176000000</v>
      </c>
      <c r="E8" s="18">
        <v>6174000000</v>
      </c>
      <c r="F8" s="6" t="s">
        <v>96</v>
      </c>
    </row>
    <row r="9" spans="1:6" x14ac:dyDescent="0.25">
      <c r="A9" t="s">
        <v>97</v>
      </c>
      <c r="B9" s="18">
        <v>3513000000</v>
      </c>
      <c r="C9" s="18">
        <v>4715000000</v>
      </c>
      <c r="D9" s="18">
        <v>3431000000</v>
      </c>
      <c r="E9" s="18">
        <v>3140000000</v>
      </c>
      <c r="F9" s="6" t="s">
        <v>98</v>
      </c>
    </row>
    <row r="10" spans="1:6" x14ac:dyDescent="0.25">
      <c r="A10" t="s">
        <v>99</v>
      </c>
      <c r="B10" s="18">
        <v>42943000000</v>
      </c>
      <c r="C10" s="18">
        <v>37416000000</v>
      </c>
      <c r="D10" s="18">
        <v>37719000000</v>
      </c>
      <c r="E10" s="18">
        <v>38332000000</v>
      </c>
      <c r="F10" s="6" t="s">
        <v>100</v>
      </c>
    </row>
    <row r="11" spans="1:6" x14ac:dyDescent="0.25">
      <c r="A11" t="s">
        <v>101</v>
      </c>
      <c r="B11" s="18">
        <v>13311000000</v>
      </c>
      <c r="C11" s="18">
        <v>5502000000</v>
      </c>
      <c r="D11" s="18">
        <v>6501000000</v>
      </c>
      <c r="E11" s="18">
        <v>6856000000</v>
      </c>
      <c r="F11" s="6" t="s">
        <v>102</v>
      </c>
    </row>
    <row r="12" spans="1:6" x14ac:dyDescent="0.25">
      <c r="A12" t="s">
        <v>34</v>
      </c>
      <c r="B12" s="34">
        <v>239000000</v>
      </c>
      <c r="C12" s="34">
        <v>243426532</v>
      </c>
      <c r="D12" s="34">
        <v>251656014</v>
      </c>
      <c r="E12" s="34">
        <v>256589147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