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<sst xmlns="http://schemas.openxmlformats.org/spreadsheetml/2006/main" count="119" uniqueCount="106">
  <si>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FedEx Freight Holding Company, Inc. (FDXF)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</si>
  <si>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</si>
  <si>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</si>
  <si>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</si>
  <si>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</si>
  <si>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</si>
  <si>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</si>
  <si>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</si>
  <si>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</si>
  <si>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</si>
  <si>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</si>
  <si>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</si>
  <si>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</si>
  <si>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</si>
  <si>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</si>
  <si>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</si>
  <si>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</si>
  <si>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</si>
  <si>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</si>
  <si>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</si>
  <si>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</si>
  <si>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</si>
  <si>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</si>
  <si>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</si>
  <si>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18.1x interest cover. Book interest / average debt was lower, at 1.5%.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</si>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</sst>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0.05425404206935758</v>
      </c>
    </row>
    <row r="7" spans="1:2" x14ac:dyDescent="0.25">
      <c r="A7" t="s">
        <v>4</v>
      </c>
      <c r="B7" s="5">
        <v>0.16226771455183692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0.04477056438630632</v>
      </c>
    </row>
    <row r="10" spans="1:3" x14ac:dyDescent="0.25">
      <c r="A10" t="s">
        <v>7</v>
      </c>
      <c r="B10" s="5">
        <v>0.04912270173235445</v>
      </c>
      <c r="C10" s="6" t="s">
        <v>8</v>
      </c>
    </row>
    <row r="11" spans="1:2" x14ac:dyDescent="0.25">
      <c r="A11" t="s">
        <v>9</v>
      </c>
      <c r="B11" s="5">
        <v>0.002440577249575552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16.852981715057393</v>
      </c>
    </row>
    <row r="14" spans="1:3" x14ac:dyDescent="0.25">
      <c r="A14" t="s">
        <v>12</v>
      </c>
      <c r="B14" s="5">
        <v>0.4497810218978102</v>
      </c>
      <c r="C14" s="6" t="s">
        <v>13</v>
      </c>
    </row>
    <row r="15" spans="1:3" x14ac:dyDescent="0.25">
      <c r="A15" t="s">
        <v>14</v>
      </c>
      <c r="B15" s="5">
        <v>0.04477056438630632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18845265920</v>
      </c>
    </row>
    <row r="23" spans="1:2" x14ac:dyDescent="0.25">
      <c r="A23" t="s">
        <v>26</v>
      </c>
      <c r="B23" s="10">
        <v>6365000000</v>
      </c>
    </row>
    <row r="24" spans="1:2" x14ac:dyDescent="0.25">
      <c r="A24" t="s">
        <v>27</v>
      </c>
      <c r="B24" s="9">
        <f>B22/(B22+B23)</f>
        <v>0.7475234882409364</v>
      </c>
    </row>
    <row r="25" spans="1:2" x14ac:dyDescent="0.25">
      <c r="A25" t="s">
        <v>28</v>
      </c>
      <c r="B25" s="9">
        <f>1-B24</f>
        <v>0.2524765117590636</v>
      </c>
    </row>
    <row r="26" spans="1:2" x14ac:dyDescent="0.25">
      <c r="A26" t="s">
        <v>29</v>
      </c>
      <c r="B26" s="11">
        <f>B24*B20+B25*B21*(1-B8)</f>
        <v>0.07876326722779765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8795000000</v>
      </c>
      <c r="C29" s="6" t="s">
        <v>32</v>
      </c>
    </row>
    <row r="30" spans="1:2" x14ac:dyDescent="0.25">
      <c r="A30" t="s">
        <v>33</v>
      </c>
      <c r="B30" s="10">
        <v>6114000000</v>
      </c>
    </row>
    <row r="31" spans="1:2" x14ac:dyDescent="0.25">
      <c r="A31" t="s">
        <v>34</v>
      </c>
      <c r="B31" s="12">
        <v>149505248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0.05425404206935758</v>
      </c>
      <c r="C5" s="5">
        <v>0.03742828629557393</v>
      </c>
      <c r="D5" s="5">
        <v>0.03587475050862719</v>
      </c>
      <c r="E5" s="5">
        <v>0.03432121472168045</v>
      </c>
      <c r="F5" s="5">
        <v>0.03276767893473371</v>
      </c>
      <c r="G5" s="5">
        <v>0.031214143147786966</v>
      </c>
      <c r="H5" s="5">
        <v>0.029660607360840224</v>
      </c>
      <c r="I5" s="5">
        <v>0.028107071573893486</v>
      </c>
      <c r="J5" s="5">
        <v>0.026553535786946744</v>
      </c>
      <c r="K5" s="5">
        <v>0.025</v>
      </c>
    </row>
    <row r="6" spans="1:11" x14ac:dyDescent="0.25">
      <c r="A6" t="s">
        <v>50</v>
      </c>
      <c r="B6" s="18">
        <f>Assumptions!B29*(1+B5)</f>
        <v>9272164300</v>
      </c>
      <c r="C6" s="18">
        <f>B6*(1+C5)</f>
        <v>9619205520</v>
      </c>
      <c r="D6" s="18">
        <f>C6*(1+D5)</f>
        <v>9964292118.12121</v>
      </c>
      <c r="E6" s="18">
        <f>D6*(1+E5)</f>
        <v>10306278727.456797</v>
      </c>
      <c r="F6" s="18">
        <f>E6*(1+F5)</f>
        <v>10643991559.809977</v>
      </c>
      <c r="G6" s="18">
        <f>F6*(1+G5)</f>
        <v>10976234636.021723</v>
      </c>
      <c r="H6" s="18">
        <f>G6*(1+H5)</f>
        <v>11301796421.86122</v>
      </c>
      <c r="I6" s="18">
        <f>H6*(1+I5)</f>
        <v>11619456822.804047</v>
      </c>
      <c r="J6" s="18">
        <f>I6*(1+J5)</f>
        <v>11927994485.373255</v>
      </c>
      <c r="K6" s="18">
        <f>J6*(1+K5)</f>
        <v>12226194347.507586</v>
      </c>
    </row>
    <row r="7" spans="1:11" x14ac:dyDescent="0.25">
      <c r="A7" t="s">
        <v>4</v>
      </c>
      <c r="B7" s="9">
        <f>Assumptions!B7</f>
        <v>0.16226771455183692</v>
      </c>
      <c r="C7" s="9">
        <f>Assumptions!B7</f>
        <v>0.16226771455183692</v>
      </c>
      <c r="D7" s="9">
        <f>Assumptions!B7</f>
        <v>0.16226771455183692</v>
      </c>
      <c r="E7" s="9">
        <f>Assumptions!B7</f>
        <v>0.16226771455183692</v>
      </c>
      <c r="F7" s="9">
        <f>Assumptions!B7</f>
        <v>0.16226771455183692</v>
      </c>
      <c r="G7" s="9">
        <f>Assumptions!B7</f>
        <v>0.16226771455183692</v>
      </c>
      <c r="H7" s="9">
        <f>Assumptions!B7</f>
        <v>0.16226771455183692</v>
      </c>
      <c r="I7" s="9">
        <f>Assumptions!B7</f>
        <v>0.16226771455183692</v>
      </c>
      <c r="J7" s="9">
        <f>Assumptions!B7</f>
        <v>0.16226771455183692</v>
      </c>
      <c r="K7" s="9">
        <f>Assumptions!B7</f>
        <v>0.16226771455183692</v>
      </c>
    </row>
    <row r="8" spans="1:11" x14ac:dyDescent="0.25">
      <c r="A8" t="s">
        <v>51</v>
      </c>
      <c r="B8" s="18">
        <f>B6*B7</f>
        <v>1504572909.9101326</v>
      </c>
      <c r="C8" s="18">
        <f>C6*C7</f>
        <v>1560886495.534814</v>
      </c>
      <c r="D8" s="18">
        <f>D6*D7</f>
        <v>1616882909.134411</v>
      </c>
      <c r="E8" s="18">
        <f>E6*E7</f>
        <v>1672376294.6386285</v>
      </c>
      <c r="F8" s="18">
        <f>F6*F7</f>
        <v>1727176184.1194067</v>
      </c>
      <c r="G8" s="18">
        <f>G6*G7</f>
        <v>1781088508.7719586</v>
      </c>
      <c r="H8" s="18">
        <f>H6*H7</f>
        <v>1833916675.7055483</v>
      </c>
      <c r="I8" s="18">
        <f>I6*I7</f>
        <v>1885462702.970161</v>
      </c>
      <c r="J8" s="18">
        <f>J6*J7</f>
        <v>1935528404.328432</v>
      </c>
      <c r="K8" s="18">
        <f>K6*K7</f>
        <v>1983916614.436643</v>
      </c>
    </row>
    <row r="9" spans="1:11" x14ac:dyDescent="0.25">
      <c r="A9" t="s">
        <v>52</v>
      </c>
      <c r="B9" s="18">
        <f>B8*(1-Assumptions!B8)</f>
        <v>1188612598.8290048</v>
      </c>
      <c r="C9" s="18">
        <f>C8*(1-Assumptions!B8)</f>
        <v>1233100331.472503</v>
      </c>
      <c r="D9" s="18">
        <f>D8*(1-Assumptions!B8)</f>
        <v>1277337498.2161849</v>
      </c>
      <c r="E9" s="18">
        <f>E8*(1-Assumptions!B8)</f>
        <v>1321177272.7645166</v>
      </c>
      <c r="F9" s="18">
        <f>F8*(1-Assumptions!B8)</f>
        <v>1364469185.4543314</v>
      </c>
      <c r="G9" s="18">
        <f>G8*(1-Assumptions!B8)</f>
        <v>1407059921.9298472</v>
      </c>
      <c r="H9" s="18">
        <f>H8*(1-Assumptions!B8)</f>
        <v>1448794173.8073833</v>
      </c>
      <c r="I9" s="18">
        <f>I8*(1-Assumptions!B8)</f>
        <v>1489515535.3464272</v>
      </c>
      <c r="J9" s="18">
        <f>J8*(1-Assumptions!B8)</f>
        <v>1529067439.4194615</v>
      </c>
      <c r="K9" s="18">
        <f>K8*(1-Assumptions!B8)</f>
        <v>1567294125.404948</v>
      </c>
    </row>
    <row r="10" spans="1:11" x14ac:dyDescent="0.25">
      <c r="A10" t="s">
        <v>53</v>
      </c>
      <c r="B10" s="18">
        <f>B6*Assumptions!B9</f>
        <v>415120028.79356086</v>
      </c>
      <c r="C10" s="18">
        <f>C6*Assumptions!B9</f>
        <v>430657260.0782732</v>
      </c>
      <c r="D10" s="18">
        <f>D6*Assumptions!B9</f>
        <v>446106981.8383102</v>
      </c>
      <c r="E10" s="18">
        <f>E6*Assumptions!B9</f>
        <v>461417915.35082364</v>
      </c>
      <c r="F10" s="18">
        <f>F6*Assumptions!B9</f>
        <v>476537509.4557736</v>
      </c>
      <c r="G10" s="18">
        <f>G6*Assumptions!B9</f>
        <v>491412219.49121606</v>
      </c>
      <c r="H10" s="18">
        <f>H6*Assumptions!B9</f>
        <v>505987804.3858641</v>
      </c>
      <c r="I10" s="18">
        <f>I6*Assumptions!B9</f>
        <v>520209639.8192548</v>
      </c>
      <c r="J10" s="18">
        <f>J6*Assumptions!B9</f>
        <v>534023045.10691</v>
      </c>
      <c r="K10" s="18">
        <f>K6*Assumptions!B9</f>
        <v>547373621.2345828</v>
      </c>
    </row>
    <row r="11" spans="1:11" x14ac:dyDescent="0.25">
      <c r="A11" t="s">
        <v>54</v>
      </c>
      <c r="B11" s="18">
        <f>-B6*B19</f>
        <v>-455473761.3222851</v>
      </c>
      <c r="C11" s="18">
        <f>-C6*C19</f>
        <v>-475485232.84599257</v>
      </c>
      <c r="D11" s="18">
        <f>-D6*D19</f>
        <v>-495613344.1972397</v>
      </c>
      <c r="E11" s="18">
        <f>-E6*E19</f>
        <v>-515798966.35386</v>
      </c>
      <c r="F11" s="18">
        <f>-F6*F19</f>
        <v>-535980127.49286646</v>
      </c>
      <c r="G11" s="18">
        <f>-G6*G19</f>
        <v>-556092284.8535892</v>
      </c>
      <c r="H11" s="18">
        <f>-H6*H19</f>
        <v>-576068628.791053</v>
      </c>
      <c r="I11" s="18">
        <f>-I6*I19</f>
        <v>-595840417.5008551</v>
      </c>
      <c r="J11" s="18">
        <f>-J6*J19</f>
        <v>-615337340.4902896</v>
      </c>
      <c r="K11" s="18">
        <f>-K6*K19</f>
        <v>-634487908.4710635</v>
      </c>
    </row>
    <row r="12" spans="1:11" x14ac:dyDescent="0.25">
      <c r="A12" t="s">
        <v>55</v>
      </c>
      <c r="B12" s="18">
        <f>-(B6-Assumptions!B29)*Assumptions!B11</f>
        <v>-1164556.3348896436</v>
      </c>
      <c r="C12" s="18">
        <f>-(C6-B6)*Assumptions!B11</f>
        <v>-846980.906196944</v>
      </c>
      <c r="D12" s="18">
        <f>-(D6-C6)*Assumptions!B11</f>
        <v>-842210.5005080467</v>
      </c>
      <c r="E12" s="18">
        <f>-(E6-D6)*Assumptions!B11</f>
        <v>-834644.7384039145</v>
      </c>
      <c r="F12" s="18">
        <f>-(F6-E6)*Assumptions!B11</f>
        <v>-824214.2555308933</v>
      </c>
      <c r="G12" s="18">
        <f>-(G6-F6)*Assumptions!B11</f>
        <v>-810864.893131384</v>
      </c>
      <c r="H12" s="18">
        <f>-(H6-G6)*Assumptions!B11</f>
        <v>-794558.6878510634</v>
      </c>
      <c r="I12" s="18">
        <f>-(I6-H6)*Assumptions!B11</f>
        <v>-775274.7476321124</v>
      </c>
      <c r="J12" s="18">
        <f>-(J6-I6)*Assumptions!B11</f>
        <v>-753009.9999036277</v>
      </c>
      <c r="K12" s="18">
        <f>-(K6-J6)*Assumptions!B11</f>
        <v>-727779.7993516137</v>
      </c>
    </row>
    <row r="13" spans="1:11" x14ac:dyDescent="0.25">
      <c r="A13" s="19" t="s">
        <v>56</v>
      </c>
      <c r="B13" s="20">
        <f>B9+B10+B11+B12</f>
        <v>1147094309.965391</v>
      </c>
      <c r="C13" s="20">
        <f>C9+C10+C11+C12</f>
        <v>1187425377.7985866</v>
      </c>
      <c r="D13" s="20">
        <f>D9+D10+D11+D12</f>
        <v>1226988925.3567474</v>
      </c>
      <c r="E13" s="20">
        <f>E9+E10+E11+E12</f>
        <v>1265961577.0230765</v>
      </c>
      <c r="F13" s="20">
        <f>F9+F10+F11+F12</f>
        <v>1304202353.1617076</v>
      </c>
      <c r="G13" s="20">
        <f>G9+G10+G11+G12</f>
        <v>1341568991.6743429</v>
      </c>
      <c r="H13" s="20">
        <f>H9+H10+H11+H12</f>
        <v>1377918790.7143433</v>
      </c>
      <c r="I13" s="20">
        <f>I9+I10+I11+I12</f>
        <v>1413109482.9171948</v>
      </c>
      <c r="J13" s="20">
        <f>J9+J10+J11+J12</f>
        <v>1447000134.036178</v>
      </c>
      <c r="K13" s="20">
        <f>K9+K10+K11+K12</f>
        <v>1479452058.3691154</v>
      </c>
    </row>
    <row r="14" spans="1:11" x14ac:dyDescent="0.25">
      <c r="A14" t="s">
        <v>57</v>
      </c>
      <c r="B14" s="21">
        <f>1/(1+Assumptions!$B$26)^(1-0.5*Assumptions!$B$32)</f>
        <v>0.9628018698084091</v>
      </c>
      <c r="C14" s="21">
        <f>1/(1+Assumptions!$B$26)^(2-0.5*Assumptions!$B$32)</f>
        <v>0.8925052410086362</v>
      </c>
      <c r="D14" s="21">
        <f>1/(1+Assumptions!$B$26)^(3-0.5*Assumptions!$B$32)</f>
        <v>0.8273411490012942</v>
      </c>
      <c r="E14" s="21">
        <f>1/(1+Assumptions!$B$26)^(4-0.5*Assumptions!$B$32)</f>
        <v>0.7669348541384735</v>
      </c>
      <c r="F14" s="21">
        <f>1/(1+Assumptions!$B$26)^(5-0.5*Assumptions!$B$32)</f>
        <v>0.7109389774731024</v>
      </c>
      <c r="G14" s="21">
        <f>1/(1+Assumptions!$B$26)^(6-0.5*Assumptions!$B$32)</f>
        <v>0.6590315030841486</v>
      </c>
      <c r="H14" s="21">
        <f>1/(1+Assumptions!$B$26)^(7-0.5*Assumptions!$B$32)</f>
        <v>0.6109139262571719</v>
      </c>
      <c r="I14" s="21">
        <f>1/(1+Assumptions!$B$26)^(8-0.5*Assumptions!$B$32)</f>
        <v>0.5663095368709546</v>
      </c>
      <c r="J14" s="21">
        <f>1/(1+Assumptions!$B$26)^(9-0.5*Assumptions!$B$32)</f>
        <v>0.5249618281184667</v>
      </c>
      <c r="K14" s="21">
        <f>1/(1+Assumptions!$B$26)^(10-0.5*Assumptions!$B$32)</f>
        <v>0.4866330214111868</v>
      </c>
    </row>
    <row r="15" spans="1:11" x14ac:dyDescent="0.25">
      <c r="A15" s="19" t="s">
        <v>58</v>
      </c>
      <c r="B15" s="20">
        <f>B13*B14</f>
        <v>1104424546.481265</v>
      </c>
      <c r="C15" s="20">
        <f>C13*C14</f>
        <v>1059783372.9918984</v>
      </c>
      <c r="D15" s="20">
        <f>D13*D14</f>
        <v>1015138427.3165146</v>
      </c>
      <c r="E15" s="20">
        <f>E13*E14</f>
        <v>970910057.419105</v>
      </c>
      <c r="F15" s="20">
        <f>F13*F14</f>
        <v>927208287.3747984</v>
      </c>
      <c r="G15" s="20">
        <f>G13*G14</f>
        <v>884136229.0742278</v>
      </c>
      <c r="H15" s="20">
        <f>H13*H14</f>
        <v>841789778.4988338</v>
      </c>
      <c r="I15" s="20">
        <f>I13*I14</f>
        <v>800257376.8187908</v>
      </c>
      <c r="J15" s="20">
        <f>J13*J14</f>
        <v>759619835.6512984</v>
      </c>
      <c r="K15" s="20">
        <f>K13*K14</f>
        <v>719950225.1971622</v>
      </c>
    </row>
    <row r="17" spans="1:2" x14ac:dyDescent="0.25">
      <c r="A17" s="22" t="s">
        <v>59</v>
      </c>
      <c r="B17" s="23">
        <f>SUM(B15:K15)</f>
        <v>9083218136.823895</v>
      </c>
    </row>
    <row r="19" spans="1:11" x14ac:dyDescent="0.25">
      <c r="A19" t="s">
        <v>7</v>
      </c>
      <c r="B19" s="9">
        <f>Assumptions!$B$10+($B$20-Assumptions!$B$10)*0/9</f>
        <v>0.04912270173235445</v>
      </c>
      <c r="C19" s="9">
        <f>Assumptions!$B$10+($B$20-Assumptions!$B$10)*1/9</f>
        <v>0.04943082168869104</v>
      </c>
      <c r="D19" s="9">
        <f>Assumptions!$B$10+($B$20-Assumptions!$B$10)*2/9</f>
        <v>0.04973894164502764</v>
      </c>
      <c r="E19" s="9">
        <f>Assumptions!$B$10+($B$20-Assumptions!$B$10)*3/9</f>
        <v>0.050047061601364226</v>
      </c>
      <c r="F19" s="9">
        <f>Assumptions!$B$10+($B$20-Assumptions!$B$10)*4/9</f>
        <v>0.050355181557700815</v>
      </c>
      <c r="G19" s="9">
        <f>Assumptions!$B$10+($B$20-Assumptions!$B$10)*5/9</f>
        <v>0.05066330151403741</v>
      </c>
      <c r="H19" s="9">
        <f>Assumptions!$B$10+($B$20-Assumptions!$B$10)*6/9</f>
        <v>0.050971421470374</v>
      </c>
      <c r="I19" s="9">
        <f>Assumptions!$B$10+($B$20-Assumptions!$B$10)*7/9</f>
        <v>0.05127954142671059</v>
      </c>
      <c r="J19" s="9">
        <f>Assumptions!$B$10+($B$20-Assumptions!$B$10)*8/9</f>
        <v>0.051587661383047184</v>
      </c>
      <c r="K19" s="9">
        <f>Assumptions!$B$10+($B$20-Assumptions!$B$10)*9/9</f>
        <v>0.05189578133938377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0.05189578133938377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1479452058.3691154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1567294125.404948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0.05558260305095748</v>
      </c>
    </row>
    <row r="7" spans="1:2" x14ac:dyDescent="0.25">
      <c r="A7" t="s">
        <v>66</v>
      </c>
      <c r="B7" s="18">
        <f>-MAX(B5,0)*B6</f>
        <v>-87114287.2364808</v>
      </c>
    </row>
    <row r="8" spans="1:2" x14ac:dyDescent="0.25">
      <c r="A8" t="s">
        <v>67</v>
      </c>
      <c r="B8" s="18">
        <f>IF(OR(Assumptions!$B$33=0,Assumptions!B12&lt;=0),B5,MAX(B5+B7,0))</f>
        <v>1480179838.1684673</v>
      </c>
    </row>
    <row r="9" spans="1:2" x14ac:dyDescent="0.25">
      <c r="A9" t="s">
        <v>68</v>
      </c>
      <c r="B9" s="18">
        <f>B8*(1+Assumptions!B12)/(Assumptions!B26-Assumptions!B12)</f>
        <v>28219719752.043583</v>
      </c>
    </row>
    <row r="10" spans="1:2" x14ac:dyDescent="0.25">
      <c r="A10" t="s">
        <v>69</v>
      </c>
      <c r="B10" s="18">
        <f>B9/(1+Assumptions!B26)^(10-0.5*Assumptions!B32)</f>
        <v>13732647486.313915</v>
      </c>
    </row>
    <row r="11" spans="1:2" x14ac:dyDescent="0.25">
      <c r="A11" t="s">
        <v>70</v>
      </c>
      <c r="B11" s="18">
        <f>Forecast!B17+B10</f>
        <v>22815865623.13781</v>
      </c>
    </row>
    <row r="12" spans="1:2" x14ac:dyDescent="0.25">
      <c r="A12" t="s">
        <v>71</v>
      </c>
      <c r="B12" s="18">
        <f>-Assumptions!B30</f>
        <v>-6114000000</v>
      </c>
    </row>
    <row r="13" spans="1:2" x14ac:dyDescent="0.25">
      <c r="A13" t="s">
        <v>72</v>
      </c>
      <c r="B13" s="18">
        <f>B11+B12</f>
        <v>16701865623.13781</v>
      </c>
    </row>
    <row r="14" spans="1:2" x14ac:dyDescent="0.25">
      <c r="A14" s="19" t="s">
        <v>73</v>
      </c>
      <c r="B14" s="24">
        <f>B13/Assumptions!B31</f>
        <v>111.71424312234049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2531290235.6712255</v>
      </c>
    </row>
    <row r="18" spans="1:2" x14ac:dyDescent="0.25">
      <c r="A18" t="s">
        <v>68</v>
      </c>
      <c r="B18" s="18">
        <f>B17*Assumptions!B13</f>
        <v>42659788057.270485</v>
      </c>
    </row>
    <row r="19" spans="1:2" x14ac:dyDescent="0.25">
      <c r="A19" t="s">
        <v>69</v>
      </c>
      <c r="B19" s="18">
        <f>B18/(1+Assumptions!B26)^(10-0.5*Assumptions!B32)</f>
        <v>20759661555.0704</v>
      </c>
    </row>
    <row r="20" spans="1:2" x14ac:dyDescent="0.25">
      <c r="A20" t="s">
        <v>70</v>
      </c>
      <c r="B20" s="18">
        <f>Forecast!B17+B19</f>
        <v>29842879691.894295</v>
      </c>
    </row>
    <row r="21" spans="1:2" x14ac:dyDescent="0.25">
      <c r="A21" t="s">
        <v>71</v>
      </c>
      <c r="B21" s="18">
        <f>-Assumptions!B30</f>
        <v>-6114000000</v>
      </c>
    </row>
    <row r="22" spans="1:2" x14ac:dyDescent="0.25">
      <c r="A22" t="s">
        <v>72</v>
      </c>
      <c r="B22" s="18">
        <f>B20+B21</f>
        <v>23728879691.894295</v>
      </c>
    </row>
    <row r="23" spans="1:2" x14ac:dyDescent="0.25">
      <c r="A23" s="19" t="s">
        <v>73</v>
      </c>
      <c r="B23" s="25">
        <f>B22/Assumptions!B31</f>
        <v>158.71603177364244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126.04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111.71424312234049</v>
      </c>
    </row>
    <row r="29" spans="1:2" x14ac:dyDescent="0.25">
      <c r="A29" s="19" t="s">
        <v>81</v>
      </c>
      <c r="B29" s="11">
        <f>B28/B26-1</f>
        <v>-0.11366040048920589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0.058763</v>
      </c>
      <c r="B5" s="31">
        <v>162.79135858910487</v>
      </c>
      <c r="C5" s="31">
        <v>179.02445779975056</v>
      </c>
      <c r="D5" s="31">
        <v>200.15427169148344</v>
      </c>
      <c r="E5" s="31">
        <v>228.73445322874784</v>
      </c>
      <c r="F5" s="31">
        <v>269.46792353610584</v>
      </c>
    </row>
    <row r="6" spans="1:6" x14ac:dyDescent="0.25">
      <c r="A6" s="30">
        <v>0.068763</v>
      </c>
      <c r="B6" s="31">
        <v>124.95086500271586</v>
      </c>
      <c r="C6" s="31">
        <v>134.2914402662054</v>
      </c>
      <c r="D6" s="31">
        <v>145.83106742746156</v>
      </c>
      <c r="E6" s="31">
        <v>160.42070689890093</v>
      </c>
      <c r="F6" s="31">
        <v>179.4153977662903</v>
      </c>
    </row>
    <row r="7" spans="1:6" x14ac:dyDescent="0.25">
      <c r="A7" s="30">
        <v>0.078763</v>
      </c>
      <c r="B7" s="31">
        <v>99.00813953433861</v>
      </c>
      <c r="C7" s="31">
        <v>104.79818371788865</v>
      </c>
      <c r="D7" s="32">
        <v>111.71498523889011</v>
      </c>
      <c r="E7" s="31">
        <v>120.10514623547601</v>
      </c>
      <c r="F7" s="31">
        <v>130.47366847018012</v>
      </c>
    </row>
    <row r="8" spans="1:6" x14ac:dyDescent="0.25">
      <c r="A8" s="30">
        <v>0.088763</v>
      </c>
      <c r="B8" s="31">
        <v>80.12232259267877</v>
      </c>
      <c r="C8" s="31">
        <v>83.89483789156705</v>
      </c>
      <c r="D8" s="31">
        <v>88.29874100041701</v>
      </c>
      <c r="E8" s="31">
        <v>93.49520165442645</v>
      </c>
      <c r="F8" s="31">
        <v>99.70534522192284</v>
      </c>
    </row>
    <row r="9" spans="1:6" x14ac:dyDescent="0.25">
      <c r="A9" s="30">
        <v>0.098763</v>
      </c>
      <c r="B9" s="31">
        <v>65.76439545945864</v>
      </c>
      <c r="C9" s="31">
        <v>68.30877295390104</v>
      </c>
      <c r="D9" s="31">
        <v>71.2306314429279</v>
      </c>
      <c r="E9" s="31">
        <v>74.61231484578026</v>
      </c>
      <c r="F9" s="31">
        <v>78.56199520121697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8795000000</v>
      </c>
      <c r="C5" s="18">
        <v>8892000000</v>
      </c>
      <c r="D5" s="18">
        <v>9424000000</v>
      </c>
      <c r="E5" s="18">
        <v>10084000000</v>
      </c>
      <c r="F5" s="6" t="s">
        <v>91</v>
      </c>
    </row>
    <row r="6" spans="1:6" x14ac:dyDescent="0.25">
      <c r="A6" t="s">
        <v>51</v>
      </c>
      <c r="B6" s="18">
        <v>1032000000</v>
      </c>
      <c r="C6" s="18">
        <v>1404000000</v>
      </c>
      <c r="D6" s="18">
        <v>1753000000</v>
      </c>
      <c r="E6" s="18">
        <v>1894000000</v>
      </c>
      <c r="F6" s="6" t="s">
        <v>92</v>
      </c>
    </row>
    <row r="7" spans="1:6" x14ac:dyDescent="0.25">
      <c r="A7" t="s">
        <v>93</v>
      </c>
      <c r="B7" s="18">
        <v>449000000</v>
      </c>
      <c r="C7" s="18">
        <v>416000000</v>
      </c>
      <c r="D7" s="18">
        <v>404000000</v>
      </c>
      <c r="E7" s="18">
        <v>387000000</v>
      </c>
      <c r="F7" s="6" t="s">
        <v>94</v>
      </c>
    </row>
    <row r="8" spans="1:6" x14ac:dyDescent="0.25">
      <c r="A8" t="s">
        <v>95</v>
      </c>
      <c r="B8" s="18">
        <v>379000000</v>
      </c>
      <c r="C8" s="18">
        <v>437000000</v>
      </c>
      <c r="D8" s="18">
        <v>461000000</v>
      </c>
      <c r="E8" s="18">
        <v>558000000</v>
      </c>
      <c r="F8" s="6" t="s">
        <v>96</v>
      </c>
    </row>
    <row r="9" spans="1:6" x14ac:dyDescent="0.25">
      <c r="A9" t="s">
        <v>97</v>
      </c>
      <c r="B9" s="18">
        <v>1413000000</v>
      </c>
      <c r="C9" s="18">
        <v>488000000</v>
      </c>
      <c r="D9" s="18">
        <v>617000000</v>
      </c>
      <c r="E9" s="18">
        <v>531000000</v>
      </c>
      <c r="F9" s="6" t="s">
        <v>98</v>
      </c>
    </row>
    <row r="10" spans="1:6" x14ac:dyDescent="0.25">
      <c r="A10" t="s">
        <v>99</v>
      </c>
      <c r="B10" s="18">
        <v>6365000000</v>
      </c>
      <c r="C10" s="18">
        <v>1433000000</v>
      </c>
      <c r="D10" s="18">
        <v>1451000000</v>
      </c>
      <c r="E10" s="18">
        <v>0</v>
      </c>
      <c r="F10" s="6" t="s">
        <v>100</v>
      </c>
    </row>
    <row r="11" spans="1:6" x14ac:dyDescent="0.25">
      <c r="A11" t="s">
        <v>101</v>
      </c>
      <c r="B11" s="18">
        <v>251000000</v>
      </c>
      <c r="C11" s="18">
        <v>109000000</v>
      </c>
      <c r="D11" s="18">
        <v>106000000</v>
      </c>
      <c r="E11" s="18">
        <v>0</v>
      </c>
      <c r="F11" s="6" t="s">
        <v>102</v>
      </c>
    </row>
    <row r="12" spans="1:6" x14ac:dyDescent="0.25">
      <c r="A12" t="s">
        <v>34</v>
      </c>
      <c r="B12" s="34">
        <v>149505248</v>
      </c>
      <c r="C12" s="34">
        <v>149505248</v>
      </c>
      <c r="D12" s="34">
        <v>149505248</v>
      </c>
      <c r="E12" s="34">
        <v>149505248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