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<sst xmlns="http://schemas.openxmlformats.org/spreadsheetml/2006/main" count="122" uniqueCount="109">
  <si>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FirstEnergy Corp. (FE)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</si>
  <si>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</si>
  <si>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</si>
  <si>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</si>
  <si>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</si>
  <si>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</si>
  <si>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</si>
  <si>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</si>
  <si>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</si>
  <si>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</si>
  <si>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</si>
  <si>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</si>
  <si>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</si>
  <si>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</si>
  <si>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</si>
  <si>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</si>
  <si>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</si>
  <si>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</si>
  <si>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</si>
  <si>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</si>
  <si>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</si>
  <si>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</si>
  <si>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</si>
  <si>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</si>
  <si>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+ 111bp, the spread for a BBB rating at 2.7x interest cover. Book interest / average debt was lower, at 4.1%.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</si>
  <si>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</si>
  <si>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</si>
  <si>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</si>
  <si>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</si>
  <si>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</si>
  <si>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</si>
  <si>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</si>
  <si>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</si>
  <si>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</si>
  <si>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</si>
  <si>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</si>
  <si>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</si>
  <si>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</si>
  <si>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</si>
  <si>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</si>
  <si>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</si>
  <si>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</si>
  <si>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</si>
  <si>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</si>
  <si>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</si>
  <si>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</si>
  <si>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</si>
  <si>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</si>
  <si>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</si>
  <si>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</si>
  <si>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</si>
  <si>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</si>
  <si>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</si>
  <si>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</si>
  <si>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</si>
  <si>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</si>
  <si>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</si>
  <si>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</si>
  <si>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</si>
  <si>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</si>
  <si>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</si>
  <si>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</si>
  <si>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</si>
  <si>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</si>
  <si>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</si>
  <si>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</si>
  <si>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</si>
  <si>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</si>
  <si>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</si>
  <si>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</si>
  <si>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</si>
  <si>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</si>
  <si>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</si>
  <si>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</si>
  <si>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</si>
  <si>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</si>
  <si>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</si>
  <si>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</si>
  <si>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</si>
  <si>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</si>
  <si>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</si>
  <si>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</si>
  <si>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</si>
  <si>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</si>
  <si>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</si>
  <si>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</si>
  <si>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</si>
  <si>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</si>
  <si>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</si>
  <si>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</si>
  <si>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</si>
  <si>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</si>
  <si>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</si>
  <si>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</si>
  <si>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</si>
  <si>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</si>
  <si>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</si>
  <si>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</si>
  <si>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</si>
  <si>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</si>
  <si>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</si>
  <si>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</si>
  <si>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</si>
  <si>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</si>
  <si>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</si>
  <si>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1.6%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</si>
  <si>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</si>
  <si>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27.5% of revenue against depreciation of 10.4%.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</si>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</sst>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0.05314570046388334</v>
      </c>
    </row>
    <row r="7" spans="1:2" x14ac:dyDescent="0.25">
      <c r="A7" t="s">
        <v>4</v>
      </c>
      <c r="B7" s="5">
        <v>0.17577618170393217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0.10426210297386372</v>
      </c>
    </row>
    <row r="10" spans="1:3" x14ac:dyDescent="0.25">
      <c r="A10" t="s">
        <v>7</v>
      </c>
      <c r="B10" s="5">
        <v>0.27507152035245075</v>
      </c>
      <c r="C10" s="6" t="s">
        <v>8</v>
      </c>
    </row>
    <row r="11" spans="1:2" x14ac:dyDescent="0.25">
      <c r="A11" t="s">
        <v>9</v>
      </c>
      <c r="B11" s="5">
        <v>-0.022004507987703235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12.084433801801802</v>
      </c>
    </row>
    <row r="14" spans="1:3" x14ac:dyDescent="0.25">
      <c r="A14" t="s">
        <v>12</v>
      </c>
      <c r="B14" s="5">
        <v>0.06958043904793745</v>
      </c>
      <c r="C14" s="6" t="s">
        <v>13</v>
      </c>
    </row>
    <row r="15" spans="1:3" x14ac:dyDescent="0.25">
      <c r="A15" t="s">
        <v>14</v>
      </c>
      <c r="B15" s="5">
        <v>0.10426210297386372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0.06004</v>
      </c>
      <c r="C21" s="6" t="s">
        <v>24</v>
      </c>
    </row>
    <row r="22" spans="1:2" x14ac:dyDescent="0.25">
      <c r="A22" t="s">
        <v>25</v>
      </c>
      <c r="B22" s="10">
        <v>27155886080</v>
      </c>
    </row>
    <row r="23" spans="1:2" x14ac:dyDescent="0.25">
      <c r="A23" t="s">
        <v>26</v>
      </c>
      <c r="B23" s="10">
        <v>26556000000</v>
      </c>
    </row>
    <row r="24" spans="1:2" x14ac:dyDescent="0.25">
      <c r="A24" t="s">
        <v>27</v>
      </c>
      <c r="B24" s="9">
        <f>B22/(B22+B23)</f>
        <v>0.5055842954304985</v>
      </c>
    </row>
    <row r="25" spans="1:2" x14ac:dyDescent="0.25">
      <c r="A25" t="s">
        <v>28</v>
      </c>
      <c r="B25" s="9">
        <f>1-B24</f>
        <v>0.49441570456950146</v>
      </c>
    </row>
    <row r="26" spans="1:2" x14ac:dyDescent="0.25">
      <c r="A26" t="s">
        <v>29</v>
      </c>
      <c r="B26" s="11">
        <f>B24*B20+B25*B21*(1-B8)</f>
        <v>0.06958043904793745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15090000000</v>
      </c>
      <c r="C29" s="6" t="s">
        <v>32</v>
      </c>
    </row>
    <row r="30" spans="1:2" x14ac:dyDescent="0.25">
      <c r="A30" t="s">
        <v>33</v>
      </c>
      <c r="B30" s="10">
        <v>26499000000</v>
      </c>
    </row>
    <row r="31" spans="1:2" x14ac:dyDescent="0.25">
      <c r="A31" t="s">
        <v>34</v>
      </c>
      <c r="B31" s="12">
        <v>2312000000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0.05314570046388334</v>
      </c>
      <c r="C5" s="5">
        <v>0.05625160994056877</v>
      </c>
      <c r="D5" s="5">
        <v>0.052345158697997676</v>
      </c>
      <c r="E5" s="5">
        <v>0.048438707455426576</v>
      </c>
      <c r="F5" s="5">
        <v>0.04453225621285548</v>
      </c>
      <c r="G5" s="5">
        <v>0.04062580497028438</v>
      </c>
      <c r="H5" s="5">
        <v>0.03671935372771329</v>
      </c>
      <c r="I5" s="5">
        <v>0.032812902485142195</v>
      </c>
      <c r="J5" s="5">
        <v>0.0289064512425711</v>
      </c>
      <c r="K5" s="5">
        <v>0.025</v>
      </c>
    </row>
    <row r="6" spans="1:11" x14ac:dyDescent="0.25">
      <c r="A6" t="s">
        <v>50</v>
      </c>
      <c r="B6" s="18">
        <f>Assumptions!B29*(1+B5)</f>
        <v>15891968620</v>
      </c>
      <c r="C6" s="18">
        <f>B6*(1+C5)</f>
        <v>16785917439.999998</v>
      </c>
      <c r="D6" s="18">
        <f>C6*(1+D5)</f>
        <v>17664578952.288284</v>
      </c>
      <c r="E6" s="18">
        <f>D6*(1+E5)</f>
        <v>18520228324.481464</v>
      </c>
      <c r="F6" s="18">
        <f>E6*(1+F5)</f>
        <v>19344975877.347855</v>
      </c>
      <c r="G6" s="18">
        <f>F6*(1+G5)</f>
        <v>20130881094.495842</v>
      </c>
      <c r="H6" s="18">
        <f>G6*(1+H5)</f>
        <v>20870074038.255173</v>
      </c>
      <c r="I6" s="18">
        <f>H6*(1+I5)</f>
        <v>21554881742.53014</v>
      </c>
      <c r="J6" s="18">
        <f>I6*(1+J5)</f>
        <v>22177956880.659977</v>
      </c>
      <c r="K6" s="18">
        <f>J6*(1+K5)</f>
        <v>22732405802.676476</v>
      </c>
    </row>
    <row r="7" spans="1:11" x14ac:dyDescent="0.25">
      <c r="A7" t="s">
        <v>4</v>
      </c>
      <c r="B7" s="9">
        <f>Assumptions!B7</f>
        <v>0.17577618170393217</v>
      </c>
      <c r="C7" s="9">
        <f>Assumptions!B7</f>
        <v>0.17577618170393217</v>
      </c>
      <c r="D7" s="9">
        <f>Assumptions!B7</f>
        <v>0.17577618170393217</v>
      </c>
      <c r="E7" s="9">
        <f>Assumptions!B7</f>
        <v>0.17577618170393217</v>
      </c>
      <c r="F7" s="9">
        <f>Assumptions!B7</f>
        <v>0.17577618170393217</v>
      </c>
      <c r="G7" s="9">
        <f>Assumptions!B7</f>
        <v>0.17577618170393217</v>
      </c>
      <c r="H7" s="9">
        <f>Assumptions!B7</f>
        <v>0.17577618170393217</v>
      </c>
      <c r="I7" s="9">
        <f>Assumptions!B7</f>
        <v>0.17577618170393217</v>
      </c>
      <c r="J7" s="9">
        <f>Assumptions!B7</f>
        <v>0.17577618170393217</v>
      </c>
      <c r="K7" s="9">
        <f>Assumptions!B7</f>
        <v>0.17577618170393217</v>
      </c>
    </row>
    <row r="8" spans="1:11" x14ac:dyDescent="0.25">
      <c r="A8" t="s">
        <v>51</v>
      </c>
      <c r="B8" s="18">
        <f>B6*B7</f>
        <v>2793429563.782308</v>
      </c>
      <c r="C8" s="18">
        <f>C6*C7</f>
        <v>2950564474.0006437</v>
      </c>
      <c r="D8" s="18">
        <f>D6*D7</f>
        <v>3105012239.640881</v>
      </c>
      <c r="E8" s="18">
        <f>E6*E7</f>
        <v>3255415019.162365</v>
      </c>
      <c r="F8" s="18">
        <f>F6*F7</f>
        <v>3400385994.8748813</v>
      </c>
      <c r="G8" s="18">
        <f>G6*G7</f>
        <v>3538529413.1263537</v>
      </c>
      <c r="H8" s="18">
        <f>H6*H7</f>
        <v>3668461926.322859</v>
      </c>
      <c r="I8" s="18">
        <f>I6*I7</f>
        <v>3788834809.781748</v>
      </c>
      <c r="J8" s="18">
        <f>J6*J7</f>
        <v>3898356578.4768605</v>
      </c>
      <c r="K8" s="18">
        <f>K6*K7</f>
        <v>3995815492.938782</v>
      </c>
    </row>
    <row r="9" spans="1:11" x14ac:dyDescent="0.25">
      <c r="A9" t="s">
        <v>52</v>
      </c>
      <c r="B9" s="18">
        <f>B8*(1-Assumptions!B8)</f>
        <v>2206809355.3880234</v>
      </c>
      <c r="C9" s="18">
        <f>C8*(1-Assumptions!B8)</f>
        <v>2330945934.460509</v>
      </c>
      <c r="D9" s="18">
        <f>D8*(1-Assumptions!B8)</f>
        <v>2452959669.316296</v>
      </c>
      <c r="E9" s="18">
        <f>E8*(1-Assumptions!B8)</f>
        <v>2571777865.1382685</v>
      </c>
      <c r="F9" s="18">
        <f>F8*(1-Assumptions!B8)</f>
        <v>2686304935.951156</v>
      </c>
      <c r="G9" s="18">
        <f>G8*(1-Assumptions!B8)</f>
        <v>2795438236.3698196</v>
      </c>
      <c r="H9" s="18">
        <f>H8*(1-Assumptions!B8)</f>
        <v>2898084921.7950587</v>
      </c>
      <c r="I9" s="18">
        <f>I8*(1-Assumptions!B8)</f>
        <v>2993179499.727581</v>
      </c>
      <c r="J9" s="18">
        <f>J8*(1-Assumptions!B8)</f>
        <v>3079701696.99672</v>
      </c>
      <c r="K9" s="18">
        <f>K8*(1-Assumptions!B8)</f>
        <v>3156694239.421638</v>
      </c>
    </row>
    <row r="10" spans="1:11" x14ac:dyDescent="0.25">
      <c r="A10" t="s">
        <v>53</v>
      </c>
      <c r="B10" s="18">
        <f>B6*Assumptions!B9</f>
        <v>1656930068.7158508</v>
      </c>
      <c r="C10" s="18">
        <f>C6*Assumptions!B9</f>
        <v>1750135052.6400547</v>
      </c>
      <c r="D10" s="18">
        <f>D6*Assumptions!B9</f>
        <v>1841746149.7134268</v>
      </c>
      <c r="E10" s="18">
        <f>E6*Assumptions!B9</f>
        <v>1930957952.666554</v>
      </c>
      <c r="F10" s="18">
        <f>F6*Assumptions!B9</f>
        <v>2016947866.9509518</v>
      </c>
      <c r="G10" s="18">
        <f>G6*Assumptions!B9</f>
        <v>2098887997.628932</v>
      </c>
      <c r="H10" s="18">
        <f>H6*Assumptions!B9</f>
        <v>2175957808.4487205</v>
      </c>
      <c r="I10" s="18">
        <f>I6*Assumptions!B9</f>
        <v>2247357299.8291326</v>
      </c>
      <c r="J10" s="18">
        <f>J6*Assumptions!B9</f>
        <v>2312320424.04128</v>
      </c>
      <c r="K10" s="18">
        <f>K6*Assumptions!B9</f>
        <v>2370128434.642312</v>
      </c>
    </row>
    <row r="11" spans="1:11" x14ac:dyDescent="0.25">
      <c r="A11" t="s">
        <v>54</v>
      </c>
      <c r="B11" s="18">
        <f>-B6*B19</f>
        <v>-4371427969.696838</v>
      </c>
      <c r="C11" s="18">
        <f>-C6*C19</f>
        <v>-4391806459.901885</v>
      </c>
      <c r="D11" s="18">
        <f>-D6*D19</f>
        <v>-4384369943.240841</v>
      </c>
      <c r="E11" s="18">
        <f>-E6*E19</f>
        <v>-4347921053.201957</v>
      </c>
      <c r="F11" s="18">
        <f>-F6*F19</f>
        <v>-4281641074.794032</v>
      </c>
      <c r="G11" s="18">
        <f>-G6*G19</f>
        <v>-4185124720.3898706</v>
      </c>
      <c r="H11" s="18">
        <f>-H6*H19</f>
        <v>-4058407155.356745</v>
      </c>
      <c r="I11" s="18">
        <f>-I6*I19</f>
        <v>-3901982137.1997056</v>
      </c>
      <c r="J11" s="18">
        <f>-J6*J19</f>
        <v>-3716810347.3300276</v>
      </c>
      <c r="K11" s="18">
        <f>-K6*K19</f>
        <v>-3504317253.588551</v>
      </c>
    </row>
    <row r="12" spans="1:11" x14ac:dyDescent="0.25">
      <c r="A12" t="s">
        <v>55</v>
      </c>
      <c r="B12" s="18">
        <f>-(B6-Assumptions!B29)*Assumptions!B11</f>
        <v>17646924.90467734</v>
      </c>
      <c r="C12" s="18">
        <f>-(C6-B6)*Assumptions!B11</f>
        <v>19670903.950287838</v>
      </c>
      <c r="D12" s="18">
        <f>-(D6-C6)*Assumptions!B11</f>
        <v>19334514.265635</v>
      </c>
      <c r="E12" s="18">
        <f>-(E6-D6)*Assumptions!B11</f>
        <v>18828143.44509809</v>
      </c>
      <c r="F12" s="18">
        <f>-(F6-E6)*Assumptions!B11</f>
        <v>18148164.114887178</v>
      </c>
      <c r="G12" s="18">
        <f>-(G6-F6)*Assumptions!B11</f>
        <v>17293457.62831053</v>
      </c>
      <c r="H12" s="18">
        <f>-(H6-G6)*Assumptions!B11</f>
        <v>16265577.03540606</v>
      </c>
      <c r="I12" s="18">
        <f>-(I6-H6)*Assumptions!B11</f>
        <v>15068856.59875923</v>
      </c>
      <c r="J12" s="18">
        <f>-(J6-I6)*Assumptions!B11</f>
        <v>13710461.853917295</v>
      </c>
      <c r="K12" s="18">
        <f>-(K6-J6)*Assumptions!B11</f>
        <v>12200375.73328549</v>
      </c>
    </row>
    <row r="13" spans="1:11" x14ac:dyDescent="0.25">
      <c r="A13" s="19" t="s">
        <v>56</v>
      </c>
      <c r="B13" s="20">
        <f>B9+B10+B11+B12</f>
        <v>-490041620.68828684</v>
      </c>
      <c r="C13" s="20">
        <f>C9+C10+C11+C12</f>
        <v>-291054568.8510337</v>
      </c>
      <c r="D13" s="20">
        <f>D9+D10+D11+D12</f>
        <v>-70329609.94548275</v>
      </c>
      <c r="E13" s="20">
        <f>E9+E10+E11+E12</f>
        <v>173642908.04796427</v>
      </c>
      <c r="F13" s="20">
        <f>F9+F10+F11+F12</f>
        <v>439759892.2229633</v>
      </c>
      <c r="G13" s="20">
        <f>G9+G10+G11+G12</f>
        <v>726494971.2371916</v>
      </c>
      <c r="H13" s="20">
        <f>H9+H10+H11+H12</f>
        <v>1031901151.9224405</v>
      </c>
      <c r="I13" s="20">
        <f>I9+I10+I11+I12</f>
        <v>1353623518.9557667</v>
      </c>
      <c r="J13" s="20">
        <f>J9+J10+J11+J12</f>
        <v>1688922235.56189</v>
      </c>
      <c r="K13" s="20">
        <f>K9+K10+K11+K12</f>
        <v>2034705796.208684</v>
      </c>
    </row>
    <row r="14" spans="1:11" x14ac:dyDescent="0.25">
      <c r="A14" t="s">
        <v>57</v>
      </c>
      <c r="B14" s="21">
        <f>1/(1+Assumptions!$B$26)^(1-0.5*Assumptions!$B$32)</f>
        <v>0.9669260797947056</v>
      </c>
      <c r="C14" s="21">
        <f>1/(1+Assumptions!$B$26)^(2-0.5*Assumptions!$B$32)</f>
        <v>0.9040237129386853</v>
      </c>
      <c r="D14" s="21">
        <f>1/(1+Assumptions!$B$26)^(3-0.5*Assumptions!$B$32)</f>
        <v>0.8452133939018005</v>
      </c>
      <c r="E14" s="21">
        <f>1/(1+Assumptions!$B$26)^(4-0.5*Assumptions!$B$32)</f>
        <v>0.7902289187844047</v>
      </c>
      <c r="F14" s="21">
        <f>1/(1+Assumptions!$B$26)^(5-0.5*Assumptions!$B$32)</f>
        <v>0.7388214013036821</v>
      </c>
      <c r="G14" s="21">
        <f>1/(1+Assumptions!$B$26)^(6-0.5*Assumptions!$B$32)</f>
        <v>0.6907581462141613</v>
      </c>
      <c r="H14" s="21">
        <f>1/(1+Assumptions!$B$26)^(7-0.5*Assumptions!$B$32)</f>
        <v>0.6458215960166809</v>
      </c>
      <c r="I14" s="21">
        <f>1/(1+Assumptions!$B$26)^(8-0.5*Assumptions!$B$32)</f>
        <v>0.6038083461881035</v>
      </c>
      <c r="J14" s="21">
        <f>1/(1+Assumptions!$B$26)^(9-0.5*Assumptions!$B$32)</f>
        <v>0.5645282244742338</v>
      </c>
      <c r="K14" s="21">
        <f>1/(1+Assumptions!$B$26)^(10-0.5*Assumptions!$B$32)</f>
        <v>0.5278034300783732</v>
      </c>
    </row>
    <row r="15" spans="1:11" x14ac:dyDescent="0.25">
      <c r="A15" s="19" t="s">
        <v>58</v>
      </c>
      <c r="B15" s="20">
        <f>B13*B14</f>
        <v>-473834023.2283693</v>
      </c>
      <c r="C15" s="20">
        <f>C13*C14</f>
        <v>-263120232.0004797</v>
      </c>
      <c r="D15" s="20">
        <f>D13*D14</f>
        <v>-59443528.313811295</v>
      </c>
      <c r="E15" s="20">
        <f>E13*E14</f>
        <v>137217647.48132262</v>
      </c>
      <c r="F15" s="20">
        <f>F13*F14</f>
        <v>324904019.80932593</v>
      </c>
      <c r="G15" s="20">
        <f>G13*G14</f>
        <v>501832319.56571287</v>
      </c>
      <c r="H15" s="20">
        <f>H13*H14</f>
        <v>666424048.8660021</v>
      </c>
      <c r="I15" s="20">
        <f>I13*I14</f>
        <v>817329178.3420025</v>
      </c>
      <c r="J15" s="20">
        <f>J13*J14</f>
        <v>953444270.9168073</v>
      </c>
      <c r="K15" s="20">
        <f>K13*K14</f>
        <v>1073924698.4392908</v>
      </c>
    </row>
    <row r="17" spans="1:2" x14ac:dyDescent="0.25">
      <c r="A17" s="22" t="s">
        <v>59</v>
      </c>
      <c r="B17" s="23">
        <f>SUM(B15:K15)</f>
        <v>3678678399.877804</v>
      </c>
    </row>
    <row r="19" spans="1:11" x14ac:dyDescent="0.25">
      <c r="A19" t="s">
        <v>7</v>
      </c>
      <c r="B19" s="9">
        <f>Assumptions!$B$10+($B$20-Assumptions!$B$10)*0/9</f>
        <v>0.27507152035245075</v>
      </c>
      <c r="C19" s="9">
        <f>Assumptions!$B$10+($B$20-Assumptions!$B$10)*1/9</f>
        <v>0.2616363672465367</v>
      </c>
      <c r="D19" s="9">
        <f>Assumptions!$B$10+($B$20-Assumptions!$B$10)*2/9</f>
        <v>0.2482012141406227</v>
      </c>
      <c r="E19" s="9">
        <f>Assumptions!$B$10+($B$20-Assumptions!$B$10)*3/9</f>
        <v>0.2347660610347087</v>
      </c>
      <c r="F19" s="9">
        <f>Assumptions!$B$10+($B$20-Assumptions!$B$10)*4/9</f>
        <v>0.22133090792879467</v>
      </c>
      <c r="G19" s="9">
        <f>Assumptions!$B$10+($B$20-Assumptions!$B$10)*5/9</f>
        <v>0.20789575482288064</v>
      </c>
      <c r="H19" s="9">
        <f>Assumptions!$B$10+($B$20-Assumptions!$B$10)*6/9</f>
        <v>0.19446060171696664</v>
      </c>
      <c r="I19" s="9">
        <f>Assumptions!$B$10+($B$20-Assumptions!$B$10)*7/9</f>
        <v>0.1810254486110526</v>
      </c>
      <c r="J19" s="9">
        <f>Assumptions!$B$10+($B$20-Assumptions!$B$10)*8/9</f>
        <v>0.1675902955051386</v>
      </c>
      <c r="K19" s="9">
        <f>Assumptions!$B$10+($B$20-Assumptions!$B$10)*9/9</f>
        <v>0.15415514239922457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0.15415514239922457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2034705796.208684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3156694239.421638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0.35929638188652774</v>
      </c>
    </row>
    <row r="7" spans="1:2" x14ac:dyDescent="0.25">
      <c r="A7" t="s">
        <v>66</v>
      </c>
      <c r="B7" s="18">
        <f>-MAX(B5,0)*B6</f>
        <v>-1134188818.946239</v>
      </c>
    </row>
    <row r="8" spans="1:2" x14ac:dyDescent="0.25">
      <c r="A8" t="s">
        <v>67</v>
      </c>
      <c r="B8" s="18">
        <f>IF(OR(Assumptions!$B$33=0,Assumptions!B12&lt;=0),B5,MAX(B5+B7,0))</f>
        <v>2022505420.475399</v>
      </c>
    </row>
    <row r="9" spans="1:2" x14ac:dyDescent="0.25">
      <c r="A9" t="s">
        <v>68</v>
      </c>
      <c r="B9" s="18">
        <f>B8*(1+Assumptions!B12)/(Assumptions!B26-Assumptions!B12)</f>
        <v>46501741576.79579</v>
      </c>
    </row>
    <row r="10" spans="1:2" x14ac:dyDescent="0.25">
      <c r="A10" t="s">
        <v>69</v>
      </c>
      <c r="B10" s="18">
        <f>B9/(1+Assumptions!B26)^(10-0.5*Assumptions!B32)</f>
        <v>24543778708.850914</v>
      </c>
    </row>
    <row r="11" spans="1:2" x14ac:dyDescent="0.25">
      <c r="A11" t="s">
        <v>70</v>
      </c>
      <c r="B11" s="18">
        <f>Forecast!B17+B10</f>
        <v>28222457108.728718</v>
      </c>
    </row>
    <row r="12" spans="1:2" x14ac:dyDescent="0.25">
      <c r="A12" t="s">
        <v>71</v>
      </c>
      <c r="B12" s="18">
        <f>-Assumptions!B30</f>
        <v>-26499000000</v>
      </c>
    </row>
    <row r="13" spans="1:2" x14ac:dyDescent="0.25">
      <c r="A13" t="s">
        <v>72</v>
      </c>
      <c r="B13" s="18">
        <f>B11+B12</f>
        <v>1723457108.7287178</v>
      </c>
    </row>
    <row r="14" spans="1:2" x14ac:dyDescent="0.25">
      <c r="A14" s="19" t="s">
        <v>73</v>
      </c>
      <c r="B14" s="24">
        <f>B13/Assumptions!B31</f>
        <v>0.7454399259207257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6365943927.581095</v>
      </c>
    </row>
    <row r="18" spans="1:2" x14ac:dyDescent="0.25">
      <c r="A18" t="s">
        <v>68</v>
      </c>
      <c r="B18" s="18">
        <f>B17*Assumptions!B13</f>
        <v>76928827978.8359</v>
      </c>
    </row>
    <row r="19" spans="1:2" x14ac:dyDescent="0.25">
      <c r="A19" t="s">
        <v>69</v>
      </c>
      <c r="B19" s="18">
        <f>B18/(1+Assumptions!B26)^(10-0.5*Assumptions!B32)</f>
        <v>40603299279.13872</v>
      </c>
    </row>
    <row r="20" spans="1:2" x14ac:dyDescent="0.25">
      <c r="A20" t="s">
        <v>70</v>
      </c>
      <c r="B20" s="18">
        <f>Forecast!B17+B19</f>
        <v>44281977679.016525</v>
      </c>
    </row>
    <row r="21" spans="1:2" x14ac:dyDescent="0.25">
      <c r="A21" t="s">
        <v>71</v>
      </c>
      <c r="B21" s="18">
        <f>-Assumptions!B30</f>
        <v>-26499000000</v>
      </c>
    </row>
    <row r="22" spans="1:2" x14ac:dyDescent="0.25">
      <c r="A22" t="s">
        <v>72</v>
      </c>
      <c r="B22" s="18">
        <f>B20+B21</f>
        <v>17782977679.016525</v>
      </c>
    </row>
    <row r="23" spans="1:2" x14ac:dyDescent="0.25">
      <c r="A23" s="19" t="s">
        <v>73</v>
      </c>
      <c r="B23" s="25">
        <f>B22/Assumptions!B31</f>
        <v>7.691599342135175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46.91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0.7454399259207257</v>
      </c>
    </row>
    <row r="29" spans="1:2" x14ac:dyDescent="0.25">
      <c r="A29" s="19" t="s">
        <v>81</v>
      </c>
      <c r="B29" s="11">
        <f>B28/B26-1</f>
        <v>-0.984109146750784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0.04958</v>
      </c>
      <c r="B5" s="31">
        <v>8.81860736704192</v>
      </c>
      <c r="C5" s="31">
        <v>8.712795681021674</v>
      </c>
      <c r="D5" s="31">
        <v>8.705547910877108</v>
      </c>
      <c r="E5" s="31">
        <v>8.872372674490533</v>
      </c>
      <c r="F5" s="31">
        <v>9.392356940748758</v>
      </c>
    </row>
    <row r="6" spans="1:6" x14ac:dyDescent="0.25">
      <c r="A6" s="30">
        <v>0.05958</v>
      </c>
      <c r="B6" s="31">
        <v>4.145576069458371</v>
      </c>
      <c r="C6" s="31">
        <v>3.8563721603981302</v>
      </c>
      <c r="D6" s="31">
        <v>3.5671682513378897</v>
      </c>
      <c r="E6" s="31">
        <v>3.2779643422776523</v>
      </c>
      <c r="F6" s="31">
        <v>2.988760433217413</v>
      </c>
    </row>
    <row r="7" spans="1:6" x14ac:dyDescent="0.25">
      <c r="A7" s="30">
        <v>0.06958</v>
      </c>
      <c r="B7" s="31">
        <v>1.213380222040838</v>
      </c>
      <c r="C7" s="31">
        <v>0.9794626608808626</v>
      </c>
      <c r="D7" s="32">
        <v>0.7455450997208773</v>
      </c>
      <c r="E7" s="31">
        <v>0.5116275385608954</v>
      </c>
      <c r="F7" s="31">
        <v>0.277709977400915</v>
      </c>
    </row>
    <row r="8" spans="1:6" x14ac:dyDescent="0.25">
      <c r="A8" s="30">
        <v>0.07958</v>
      </c>
      <c r="B8" s="31">
        <v>-0.9451533853972329</v>
      </c>
      <c r="C8" s="31">
        <v>-1.1385134840042483</v>
      </c>
      <c r="D8" s="31">
        <v>-1.3318735826112622</v>
      </c>
      <c r="E8" s="31">
        <v>-1.5252336812182792</v>
      </c>
      <c r="F8" s="31">
        <v>-1.7185937798252948</v>
      </c>
    </row>
    <row r="9" spans="1:6" x14ac:dyDescent="0.25">
      <c r="A9" s="30">
        <v>0.08958</v>
      </c>
      <c r="B9" s="31">
        <v>-2.591600271527967</v>
      </c>
      <c r="C9" s="31">
        <v>-2.7541391229598746</v>
      </c>
      <c r="D9" s="31">
        <v>-2.9166779743917837</v>
      </c>
      <c r="E9" s="31">
        <v>-3.0792168258236914</v>
      </c>
      <c r="F9" s="31">
        <v>-3.241755677255599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15090000000</v>
      </c>
      <c r="C5" s="18">
        <v>13472000000</v>
      </c>
      <c r="D5" s="18">
        <v>12870000000</v>
      </c>
      <c r="E5" s="18">
        <v>12459000000</v>
      </c>
      <c r="F5" s="6" t="s">
        <v>91</v>
      </c>
    </row>
    <row r="6" spans="1:6" x14ac:dyDescent="0.25">
      <c r="A6" t="s">
        <v>51</v>
      </c>
      <c r="B6" s="18">
        <v>2833000000</v>
      </c>
      <c r="C6" s="18">
        <v>2490000000</v>
      </c>
      <c r="D6" s="18">
        <v>2281000000</v>
      </c>
      <c r="E6" s="18">
        <v>1910000000</v>
      </c>
      <c r="F6" s="6" t="s">
        <v>92</v>
      </c>
    </row>
    <row r="7" spans="1:6" x14ac:dyDescent="0.25">
      <c r="A7" t="s">
        <v>93</v>
      </c>
      <c r="B7" s="18">
        <v>1607000000</v>
      </c>
      <c r="C7" s="18">
        <v>1446000000</v>
      </c>
      <c r="D7" s="18">
        <v>1255000000</v>
      </c>
      <c r="E7" s="18">
        <v>1317000000</v>
      </c>
      <c r="F7" s="6" t="s">
        <v>94</v>
      </c>
    </row>
    <row r="8" spans="1:6" x14ac:dyDescent="0.25">
      <c r="A8" t="s">
        <v>95</v>
      </c>
      <c r="B8" s="18">
        <v>4705000000</v>
      </c>
      <c r="C8" s="18">
        <v>4030000000</v>
      </c>
      <c r="D8" s="18">
        <v>3356000000</v>
      </c>
      <c r="E8" s="18">
        <v>2848000000</v>
      </c>
      <c r="F8" s="6" t="s">
        <v>96</v>
      </c>
    </row>
    <row r="9" spans="1:6" x14ac:dyDescent="0.25">
      <c r="A9" t="s">
        <v>97</v>
      </c>
      <c r="B9" s="18">
        <v>-189000000</v>
      </c>
      <c r="C9" s="18">
        <v>395000000</v>
      </c>
      <c r="D9" s="18">
        <v>395000000</v>
      </c>
      <c r="E9" s="18">
        <v>-204000000</v>
      </c>
      <c r="F9" s="6" t="s">
        <v>98</v>
      </c>
    </row>
    <row r="10" spans="1:6" x14ac:dyDescent="0.25">
      <c r="A10" t="s">
        <v>99</v>
      </c>
      <c r="B10" s="18">
        <v>26556000000</v>
      </c>
      <c r="C10" s="18">
        <v>24023000000</v>
      </c>
      <c r="D10" s="18">
        <v>24910000000</v>
      </c>
      <c r="E10" s="18">
        <v>21654000000</v>
      </c>
      <c r="F10" s="6" t="s">
        <v>100</v>
      </c>
    </row>
    <row r="11" spans="1:6" x14ac:dyDescent="0.25">
      <c r="A11" t="s">
        <v>101</v>
      </c>
      <c r="B11" s="18">
        <v>57000000</v>
      </c>
      <c r="C11" s="18">
        <v>111000000</v>
      </c>
      <c r="D11" s="18">
        <v>137000000</v>
      </c>
      <c r="E11" s="18">
        <v>160000000</v>
      </c>
      <c r="F11" s="6" t="s">
        <v>102</v>
      </c>
    </row>
    <row r="12" spans="1:6" x14ac:dyDescent="0.25">
      <c r="A12" t="s">
        <v>34</v>
      </c>
      <c r="B12" s="34">
        <v>2312000000</v>
      </c>
      <c r="C12" s="34">
        <v>2308000000</v>
      </c>
      <c r="D12" s="34">
        <v>2296000000</v>
      </c>
      <c r="E12" s="34">
        <v>2288000000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