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<sst xmlns="http://schemas.openxmlformats.org/spreadsheetml/2006/main" count="114" uniqueCount="102">
  <si>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Ferrovial N.V. (FER.MC)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</si>
  <si>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</si>
  <si>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</si>
  <si>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</si>
  <si>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</si>
  <si>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</si>
  <si>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</si>
  <si>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</si>
  <si>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</si>
  <si>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</si>
  <si>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</si>
  <si>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</si>
  <si>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</si>
  <si>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</si>
  <si>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</si>
  <si>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</si>
  <si>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</si>
  <si>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</si>
  <si>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</si>
  <si>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</si>
  <si>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</si>
  <si>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</si>
  <si>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</si>
  <si>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</si>
  <si>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</si>
  <si>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</si>
  <si>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</si>
  <si>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</si>
  <si>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</si>
  <si>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</si>
  <si>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</si>
  <si>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</si>
  <si>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</si>
  <si>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</si>
  <si>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</si>
  <si>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</si>
  <si>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</si>
  <si>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</si>
  <si>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</si>
  <si>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</si>
  <si>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</si>
  <si>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</si>
  <si>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</si>
  <si>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</si>
  <si>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</si>
  <si>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</si>
  <si>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</si>
  <si>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</si>
  <si>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</si>
  <si>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</si>
  <si>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</si>
  <si>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</si>
  <si>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</si>
  <si>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</si>
  <si>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</si>
  <si>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</si>
  <si>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</si>
  <si>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</si>
  <si>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</si>
  <si>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</si>
  <si>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</si>
  <si>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</si>
  <si>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</si>
  <si>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</si>
  <si>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</si>
  <si>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</si>
  <si>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</si>
  <si>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</si>
  <si>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</si>
  <si>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</si>
  <si>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</si>
  <si>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</si>
  <si>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</si>
  <si>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</si>
  <si>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</si>
  <si>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</si>
  <si>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</si>
  <si>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</si>
  <si>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</si>
  <si>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</si>
  <si>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</si>
  <si>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</si>
  <si>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</si>
  <si>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</si>
  <si>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</si>
  <si>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</si>
  <si>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</si>
  <si>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</si>
  <si>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</si>
  <si>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</si>
  <si>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</si>
  <si>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</si>
  <si>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</si>
  <si>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</si>
  <si>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</si>
  <si>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</si>
  <si>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</si>
  <si>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</si>
  <si>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1.67% of revenue against depreciation of 4.64%. A business cannot depreciate more than it invests indefinitely. Capex has been set to 4.64% of revenue so the forecast is not handed free growth. Override it if the reported figure is right.</t>
  </si>
  <si>
    <t>Note: Risk-free rate is an assumption: USD assumption - no free live source available for this market.</t>
  </si>
  <si>
    <t>Current EV/EBITDA of 28.1x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</si>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</sst>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0.084331731956794</v>
      </c>
    </row>
    <row r="7" spans="1:2" x14ac:dyDescent="0.25">
      <c r="A7" t="s">
        <v>5</v>
      </c>
      <c r="B7" s="6">
        <v>0.08126032254527704</v>
      </c>
    </row>
    <row r="8" spans="1:2" x14ac:dyDescent="0.25">
      <c r="A8" t="s">
        <v>6</v>
      </c>
      <c r="B8" s="6">
        <v>0.11070110701107011</v>
      </c>
    </row>
    <row r="9" spans="1:2" x14ac:dyDescent="0.25">
      <c r="A9" t="s">
        <v>7</v>
      </c>
      <c r="B9" s="6">
        <v>0.04644913549485897</v>
      </c>
    </row>
    <row r="10" spans="1:2" x14ac:dyDescent="0.25">
      <c r="A10" t="s">
        <v>8</v>
      </c>
      <c r="B10" s="6">
        <v>0.04644913549485897</v>
      </c>
    </row>
    <row r="11" spans="1:2" x14ac:dyDescent="0.25">
      <c r="A11" t="s">
        <v>9</v>
      </c>
      <c r="B11" s="6">
        <v>-0.12240663900414937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0.08316664373533438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0.85327</v>
      </c>
      <c r="C19" s="8" t="s">
        <v>19</v>
      </c>
    </row>
    <row r="20" spans="1:2" x14ac:dyDescent="0.25">
      <c r="A20" t="s">
        <v>20</v>
      </c>
      <c r="B20" s="10">
        <f>B17+B19*B18</f>
        <v>0.09746255000000001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34394341376</v>
      </c>
    </row>
    <row r="23" spans="1:2" x14ac:dyDescent="0.25">
      <c r="A23" t="s">
        <v>24</v>
      </c>
      <c r="B23" s="11">
        <v>10732000000</v>
      </c>
    </row>
    <row r="24" spans="1:2" x14ac:dyDescent="0.25">
      <c r="A24" t="s">
        <v>25</v>
      </c>
      <c r="B24" s="10">
        <f>B22/(B22+B23)</f>
        <v>0.7621788145735273</v>
      </c>
    </row>
    <row r="25" spans="1:2" x14ac:dyDescent="0.25">
      <c r="A25" t="s">
        <v>26</v>
      </c>
      <c r="B25" s="10">
        <f>1-B24</f>
        <v>0.23782118542647268</v>
      </c>
    </row>
    <row r="26" spans="1:2" x14ac:dyDescent="0.25">
      <c r="A26" t="s">
        <v>27</v>
      </c>
      <c r="B26" s="12">
        <f>B24*B20+B25*B21*(1-B8)</f>
        <v>0.08316664373533438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9627000000</v>
      </c>
      <c r="C29" s="8" t="s">
        <v>30</v>
      </c>
    </row>
    <row r="30" spans="1:2" x14ac:dyDescent="0.25">
      <c r="A30" t="s">
        <v>31</v>
      </c>
      <c r="B30" s="11">
        <v>6490000000</v>
      </c>
    </row>
    <row r="31" spans="1:2" x14ac:dyDescent="0.25">
      <c r="A31" t="s">
        <v>32</v>
      </c>
      <c r="B31" s="13">
        <v>718716000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0.084331731956794</v>
      </c>
      <c r="C5" s="10">
        <f>Assumptions!B6</f>
        <v>0.084331731956794</v>
      </c>
      <c r="D5" s="10">
        <f>Assumptions!B6</f>
        <v>0.084331731956794</v>
      </c>
      <c r="E5" s="10">
        <f>Assumptions!B6</f>
        <v>0.084331731956794</v>
      </c>
      <c r="F5" s="10">
        <f>Assumptions!B6</f>
        <v>0.084331731956794</v>
      </c>
    </row>
    <row r="6" spans="1:6" x14ac:dyDescent="0.25">
      <c r="A6" t="s">
        <v>43</v>
      </c>
      <c r="B6" s="18">
        <f>Assumptions!B29*(1+B5)</f>
        <v>10438861583.548056</v>
      </c>
      <c r="C6" s="18">
        <f>B6*(1+C5)</f>
        <v>11319188860.545904</v>
      </c>
      <c r="D6" s="18">
        <f>C6*(1+D5)</f>
        <v>12273755661.50179</v>
      </c>
      <c r="E6" s="18">
        <f>D6*(1+E5)</f>
        <v>13308822734.050741</v>
      </c>
      <c r="F6" s="18">
        <f>E6*(1+F5)</f>
        <v>14431178805.519194</v>
      </c>
    </row>
    <row r="7" spans="1:6" x14ac:dyDescent="0.25">
      <c r="A7" t="s">
        <v>5</v>
      </c>
      <c r="B7" s="10">
        <f>Assumptions!B7</f>
        <v>0.08126032254527704</v>
      </c>
      <c r="C7" s="10">
        <f>Assumptions!B7</f>
        <v>0.08126032254527704</v>
      </c>
      <c r="D7" s="10">
        <f>Assumptions!B7</f>
        <v>0.08126032254527704</v>
      </c>
      <c r="E7" s="10">
        <f>Assumptions!B7</f>
        <v>0.08126032254527704</v>
      </c>
      <c r="F7" s="10">
        <f>Assumptions!B7</f>
        <v>0.08126032254527704</v>
      </c>
    </row>
    <row r="8" spans="1:6" x14ac:dyDescent="0.25">
      <c r="A8" t="s">
        <v>44</v>
      </c>
      <c r="B8" s="18">
        <f>B6*B7</f>
        <v>848265259.2846165</v>
      </c>
      <c r="C8" s="18">
        <f>C6*C7</f>
        <v>919800937.758867</v>
      </c>
      <c r="D8" s="18">
        <f>D6*D7</f>
        <v>997369343.8955556</v>
      </c>
      <c r="E8" s="18">
        <f>E6*E7</f>
        <v>1081479228.066879</v>
      </c>
      <c r="F8" s="18">
        <f>F6*F7</f>
        <v>1172682244.4450555</v>
      </c>
    </row>
    <row r="9" spans="1:6" x14ac:dyDescent="0.25">
      <c r="A9" t="s">
        <v>45</v>
      </c>
      <c r="B9" s="18">
        <f>B8*(1-Assumptions!B8)</f>
        <v>754361356.042777</v>
      </c>
      <c r="C9" s="18">
        <f>C8*(1-Assumptions!B8)</f>
        <v>817977955.71914</v>
      </c>
      <c r="D9" s="18">
        <f>D8*(1-Assumptions!B8)</f>
        <v>886959453.4274129</v>
      </c>
      <c r="E9" s="18">
        <f>E8*(1-Assumptions!B8)</f>
        <v>961758280.3103979</v>
      </c>
      <c r="F9" s="18">
        <f>F8*(1-Assumptions!B8)</f>
        <v>1042865021.8127614</v>
      </c>
    </row>
    <row r="10" spans="1:6" x14ac:dyDescent="0.25">
      <c r="A10" t="s">
        <v>46</v>
      </c>
      <c r="B10" s="18">
        <f>B6*Assumptions!B9</f>
        <v>484876096.10630167</v>
      </c>
      <c r="C10" s="18">
        <f>C6*Assumptions!B9</f>
        <v>525766537.075395</v>
      </c>
      <c r="D10" s="18">
        <f>D6*Assumptions!B9</f>
        <v>570105339.751889</v>
      </c>
      <c r="E10" s="18">
        <f>E6*Assumptions!B9</f>
        <v>618183310.4509822</v>
      </c>
      <c r="F10" s="18">
        <f>F6*Assumptions!B9</f>
        <v>670315779.6880981</v>
      </c>
    </row>
    <row r="11" spans="1:6" x14ac:dyDescent="0.25">
      <c r="A11" t="s">
        <v>47</v>
      </c>
      <c r="B11" s="18">
        <f>-B6*Assumptions!B10</f>
        <v>-484876096.10630167</v>
      </c>
      <c r="C11" s="18">
        <f>-C6*Assumptions!B10</f>
        <v>-525766537.075395</v>
      </c>
      <c r="D11" s="18">
        <f>-D6*Assumptions!B10</f>
        <v>-570105339.751889</v>
      </c>
      <c r="E11" s="18">
        <f>-E6*Assumptions!B10</f>
        <v>-618183310.4509822</v>
      </c>
      <c r="F11" s="18">
        <f>-F6*Assumptions!B10</f>
        <v>-670315779.6880981</v>
      </c>
    </row>
    <row r="12" spans="1:6" x14ac:dyDescent="0.25">
      <c r="A12" t="s">
        <v>48</v>
      </c>
      <c r="B12" s="18">
        <f>-(B6-Assumptions!B29)*Assumptions!B11</f>
        <v>99377247.7787039</v>
      </c>
      <c r="C12" s="18">
        <f>-(C6-B6)*Assumptions!B11</f>
        <v>107757903.20098145</v>
      </c>
      <c r="D12" s="18">
        <f>-(D6-C6)*Assumptions!B11</f>
        <v>116845313.80995272</v>
      </c>
      <c r="E12" s="18">
        <f>-(E6-D6)*Assumptions!B11</f>
        <v>126699081.49458127</v>
      </c>
      <c r="F12" s="18">
        <f>-(F6-E6)*Assumptions!B11</f>
        <v>137383834.47435415</v>
      </c>
    </row>
    <row r="13" spans="1:6" x14ac:dyDescent="0.25">
      <c r="A13" s="19" t="s">
        <v>49</v>
      </c>
      <c r="B13" s="20">
        <f>B9+B10+B11+B12</f>
        <v>853738603.8214809</v>
      </c>
      <c r="C13" s="20">
        <f>C9+C10+C11+C12</f>
        <v>925735858.9201217</v>
      </c>
      <c r="D13" s="20">
        <f>D9+D10+D11+D12</f>
        <v>1003804767.2373655</v>
      </c>
      <c r="E13" s="20">
        <f>E9+E10+E11+E12</f>
        <v>1088457361.8049793</v>
      </c>
      <c r="F13" s="20">
        <f>F9+F10+F11+F12</f>
        <v>1180248856.2871156</v>
      </c>
    </row>
    <row r="14" spans="1:6" x14ac:dyDescent="0.25">
      <c r="A14" t="s">
        <v>50</v>
      </c>
      <c r="B14" s="21">
        <f>1/(1+Assumptions!$B$26)^(1-0.5*Assumptions!$B$32)</f>
        <v>0.9608428468317366</v>
      </c>
      <c r="C14" s="21">
        <f>1/(1+Assumptions!$B$26)^(2-0.5*Assumptions!$B$32)</f>
        <v>0.8870683494445875</v>
      </c>
      <c r="D14" s="21">
        <f>1/(1+Assumptions!$B$26)^(3-0.5*Assumptions!$B$32)</f>
        <v>0.8189583334892073</v>
      </c>
      <c r="E14" s="21">
        <f>1/(1+Assumptions!$B$26)^(4-0.5*Assumptions!$B$32)</f>
        <v>0.756077874282579</v>
      </c>
      <c r="F14" s="21">
        <f>1/(1+Assumptions!$B$26)^(5-0.5*Assumptions!$B$32)</f>
        <v>0.6980254411040767</v>
      </c>
    </row>
    <row r="15" spans="1:6" x14ac:dyDescent="0.25">
      <c r="A15" s="19" t="s">
        <v>51</v>
      </c>
      <c r="B15" s="20">
        <f>B13*B14</f>
        <v>820308630.5459838</v>
      </c>
      <c r="C15" s="20">
        <f>C13*C14</f>
        <v>821190980.3939399</v>
      </c>
      <c r="D15" s="20">
        <f>D13*D14</f>
        <v>822074279.3252345</v>
      </c>
      <c r="E15" s="20">
        <f>E13*E14</f>
        <v>822958528.3607328</v>
      </c>
      <c r="F15" s="20">
        <f>F13*F14</f>
        <v>823843728.5223958</v>
      </c>
    </row>
    <row r="17" spans="1:2" x14ac:dyDescent="0.25">
      <c r="A17" s="22" t="s">
        <v>52</v>
      </c>
      <c r="B17" s="23">
        <f>SUM(B15:F15)</f>
        <v>4110376147.148287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1180248856.2871156</v>
      </c>
    </row>
    <row r="5" spans="1:2" x14ac:dyDescent="0.25">
      <c r="A5" t="s">
        <v>56</v>
      </c>
      <c r="B5" s="18">
        <f>IF(Assumptions!$B$33=0,B4,B4-Forecast!F11-Forecast!F10-Forecast!F12)</f>
        <v>1042865021.8127614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0.30060128528883323</v>
      </c>
    </row>
    <row r="7" spans="1:2" x14ac:dyDescent="0.25">
      <c r="A7" t="s">
        <v>58</v>
      </c>
      <c r="B7" s="18">
        <f>-MAX(Forecast!F9,0)*B6</f>
        <v>-313486565.9396832</v>
      </c>
    </row>
    <row r="8" spans="1:2" x14ac:dyDescent="0.25">
      <c r="A8" t="s">
        <v>59</v>
      </c>
      <c r="B8" s="18">
        <f>IF(OR(Assumptions!$B$33=0,Assumptions!B12&lt;=0),B5,MAX(B5+B7,0))</f>
        <v>729378455.8730782</v>
      </c>
    </row>
    <row r="9" spans="1:2" x14ac:dyDescent="0.25">
      <c r="A9" t="s">
        <v>60</v>
      </c>
      <c r="B9" s="18">
        <f>B8*(1+Assumptions!B12)/(Assumptions!B26-Assumptions!B12)</f>
        <v>12852949203.527006</v>
      </c>
    </row>
    <row r="10" spans="1:2" x14ac:dyDescent="0.25">
      <c r="A10" t="s">
        <v>61</v>
      </c>
      <c r="B10" s="18">
        <f>B9/(1+Assumptions!B26)^(5-0.5*Assumptions!B32)</f>
        <v>8971685537.28023</v>
      </c>
    </row>
    <row r="11" spans="1:2" x14ac:dyDescent="0.25">
      <c r="A11" t="s">
        <v>62</v>
      </c>
      <c r="B11" s="18">
        <f>Forecast!B17+B10</f>
        <v>13082061684.428516</v>
      </c>
    </row>
    <row r="12" spans="1:2" x14ac:dyDescent="0.25">
      <c r="A12" t="s">
        <v>63</v>
      </c>
      <c r="B12" s="18">
        <f>-Assumptions!B30</f>
        <v>-6490000000</v>
      </c>
    </row>
    <row r="13" spans="1:2" x14ac:dyDescent="0.25">
      <c r="A13" t="s">
        <v>64</v>
      </c>
      <c r="B13" s="18">
        <f>B11+B12</f>
        <v>6592061684.428516</v>
      </c>
    </row>
    <row r="14" spans="1:2" x14ac:dyDescent="0.25">
      <c r="A14" s="19" t="s">
        <v>65</v>
      </c>
      <c r="B14" s="24">
        <f>B13/Assumptions!B31</f>
        <v>9.171997958064821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1842998024.1331534</v>
      </c>
    </row>
    <row r="18" spans="1:2" x14ac:dyDescent="0.25">
      <c r="A18" t="s">
        <v>60</v>
      </c>
      <c r="B18" s="18">
        <f>B17*Assumptions!B13</f>
        <v>36859960482.66307</v>
      </c>
    </row>
    <row r="19" spans="1:2" x14ac:dyDescent="0.25">
      <c r="A19" t="s">
        <v>61</v>
      </c>
      <c r="B19" s="18">
        <f>B18/(1+Assumptions!B26)^(5-0.5*Assumptions!B32)</f>
        <v>25729190174.989727</v>
      </c>
    </row>
    <row r="20" spans="1:2" x14ac:dyDescent="0.25">
      <c r="A20" t="s">
        <v>62</v>
      </c>
      <c r="B20" s="18">
        <f>Forecast!B17+B19</f>
        <v>29839566322.138016</v>
      </c>
    </row>
    <row r="21" spans="1:2" x14ac:dyDescent="0.25">
      <c r="A21" t="s">
        <v>63</v>
      </c>
      <c r="B21" s="18">
        <f>-Assumptions!B30</f>
        <v>-6490000000</v>
      </c>
    </row>
    <row r="22" spans="1:2" x14ac:dyDescent="0.25">
      <c r="A22" t="s">
        <v>64</v>
      </c>
      <c r="B22" s="18">
        <f>B20+B21</f>
        <v>23349566322.138016</v>
      </c>
    </row>
    <row r="23" spans="1:2" x14ac:dyDescent="0.25">
      <c r="A23" s="19" t="s">
        <v>65</v>
      </c>
      <c r="B23" s="25">
        <f>B22/Assumptions!B31</f>
        <v>32.487889962291106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47.73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9.171997958064821</v>
      </c>
    </row>
    <row r="29" spans="1:2" x14ac:dyDescent="0.25">
      <c r="A29" s="19" t="s">
        <v>73</v>
      </c>
      <c r="B29" s="12">
        <f>B28/B26-1</f>
        <v>-0.8078357855004228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0.063167</v>
      </c>
      <c r="B5" s="31">
        <v>14.662788148832103</v>
      </c>
      <c r="C5" s="31">
        <v>14.749973565081316</v>
      </c>
      <c r="D5" s="31">
        <v>14.83715898133053</v>
      </c>
      <c r="E5" s="31">
        <v>14.924344397579743</v>
      </c>
      <c r="F5" s="31">
        <v>15.011529813828956</v>
      </c>
    </row>
    <row r="6" spans="1:6" x14ac:dyDescent="0.25">
      <c r="A6" s="30">
        <v>0.073167</v>
      </c>
      <c r="B6" s="31">
        <v>11.473200015283831</v>
      </c>
      <c r="C6" s="31">
        <v>11.545364356406944</v>
      </c>
      <c r="D6" s="31">
        <v>11.617528697530062</v>
      </c>
      <c r="E6" s="31">
        <v>11.689693038653173</v>
      </c>
      <c r="F6" s="31">
        <v>11.761857379776286</v>
      </c>
    </row>
    <row r="7" spans="1:6" x14ac:dyDescent="0.25">
      <c r="A7" s="30">
        <v>0.083167</v>
      </c>
      <c r="B7" s="31">
        <v>9.050137266509699</v>
      </c>
      <c r="C7" s="31">
        <v>9.111029284281129</v>
      </c>
      <c r="D7" s="32">
        <v>9.171921302052553</v>
      </c>
      <c r="E7" s="31">
        <v>9.232813319823986</v>
      </c>
      <c r="F7" s="31">
        <v>9.293705337595409</v>
      </c>
    </row>
    <row r="8" spans="1:6" x14ac:dyDescent="0.25">
      <c r="A8" s="30">
        <v>0.093167</v>
      </c>
      <c r="B8" s="31">
        <v>7.146829050093831</v>
      </c>
      <c r="C8" s="31">
        <v>7.198983260268913</v>
      </c>
      <c r="D8" s="31">
        <v>7.2511374704439895</v>
      </c>
      <c r="E8" s="31">
        <v>7.303291680619067</v>
      </c>
      <c r="F8" s="31">
        <v>7.355445890794143</v>
      </c>
    </row>
    <row r="9" spans="1:6" x14ac:dyDescent="0.25">
      <c r="A9" s="30">
        <v>0.103167</v>
      </c>
      <c r="B9" s="31">
        <v>5.612178336375037</v>
      </c>
      <c r="C9" s="31">
        <v>5.657386234109199</v>
      </c>
      <c r="D9" s="31">
        <v>5.702594131843356</v>
      </c>
      <c r="E9" s="31">
        <v>5.747802029577518</v>
      </c>
      <c r="F9" s="31">
        <v>5.793009927311675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9627000000</v>
      </c>
      <c r="C5" s="18">
        <v>9148000000</v>
      </c>
      <c r="D5" s="18">
        <v>8515000000</v>
      </c>
      <c r="E5" s="18">
        <v>7551000000</v>
      </c>
      <c r="F5" s="8" t="s">
        <v>84</v>
      </c>
    </row>
    <row r="6" spans="1:6" x14ac:dyDescent="0.25">
      <c r="A6" t="s">
        <v>44</v>
      </c>
      <c r="B6" s="18">
        <v>967000000</v>
      </c>
      <c r="C6" s="18">
        <v>901000000</v>
      </c>
      <c r="D6" s="18">
        <v>590000000</v>
      </c>
      <c r="E6" s="18">
        <v>429000000</v>
      </c>
      <c r="F6" s="8" t="s">
        <v>85</v>
      </c>
    </row>
    <row r="7" spans="1:6" x14ac:dyDescent="0.25">
      <c r="A7" t="s">
        <v>86</v>
      </c>
      <c r="B7" s="18">
        <v>490000000</v>
      </c>
      <c r="C7" s="18">
        <v>441000000</v>
      </c>
      <c r="D7" s="18">
        <v>401000000</v>
      </c>
      <c r="E7" s="18">
        <v>299000000</v>
      </c>
      <c r="F7" s="8" t="s">
        <v>87</v>
      </c>
    </row>
    <row r="8" spans="1:6" x14ac:dyDescent="0.25">
      <c r="A8" t="s">
        <v>88</v>
      </c>
      <c r="B8" s="18">
        <v>187000000</v>
      </c>
      <c r="C8" s="18">
        <v>226000000</v>
      </c>
      <c r="D8" s="18">
        <v>86000000</v>
      </c>
      <c r="E8" s="18">
        <v>95000000</v>
      </c>
      <c r="F8" s="8" t="s">
        <v>89</v>
      </c>
    </row>
    <row r="9" spans="1:6" x14ac:dyDescent="0.25">
      <c r="A9" t="s">
        <v>90</v>
      </c>
      <c r="B9" s="18">
        <v>-63000000</v>
      </c>
      <c r="C9" s="18">
        <v>220000000</v>
      </c>
      <c r="D9" s="18">
        <v>-118000000</v>
      </c>
      <c r="E9" s="18">
        <v>83000000</v>
      </c>
      <c r="F9" s="8" t="s">
        <v>91</v>
      </c>
    </row>
    <row r="10" spans="1:6" x14ac:dyDescent="0.25">
      <c r="A10" t="s">
        <v>92</v>
      </c>
      <c r="B10" s="18">
        <v>10732000000</v>
      </c>
      <c r="C10" s="18">
        <v>11533000000</v>
      </c>
      <c r="D10" s="18">
        <v>11565000000</v>
      </c>
      <c r="E10" s="18">
        <v>11837000000</v>
      </c>
      <c r="F10" s="8" t="s">
        <v>93</v>
      </c>
    </row>
    <row r="11" spans="1:6" x14ac:dyDescent="0.25">
      <c r="A11" t="s">
        <v>94</v>
      </c>
      <c r="B11" s="18">
        <v>4242000000</v>
      </c>
      <c r="C11" s="18">
        <v>4810000000</v>
      </c>
      <c r="D11" s="18">
        <v>4758000000</v>
      </c>
      <c r="E11" s="18">
        <v>5063000000</v>
      </c>
      <c r="F11" s="8" t="s">
        <v>95</v>
      </c>
    </row>
    <row r="12" spans="1:6" x14ac:dyDescent="0.25">
      <c r="A12" t="s">
        <v>32</v>
      </c>
      <c r="B12" s="34">
        <v>718716000</v>
      </c>
      <c r="C12" s="34">
        <v>724191000</v>
      </c>
      <c r="D12" s="34">
        <v>728255000</v>
      </c>
      <c r="E12" s="34">
        <v>723477000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2026-09-19T00:07:15Z</dcterms:modified>
</cp:coreProperties>
</file>